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0.12.49.247\share\☆☆☆施設ライン共有☆☆☆\■指定管理者（社会福祉事業団）\R07\00_工事\ばんだい荘体育館天井工事（建築）\04_公告\"/>
    </mc:Choice>
  </mc:AlternateContent>
  <xr:revisionPtr revIDLastSave="0" documentId="13_ncr:1_{E4B4BA18-F3A8-4E11-88EC-36CEF02A23D2}" xr6:coauthVersionLast="47" xr6:coauthVersionMax="47" xr10:uidLastSave="{00000000-0000-0000-0000-000000000000}"/>
  <workbookProtection workbookPassword="B050" lockStructure="1"/>
  <bookViews>
    <workbookView xWindow="-108" yWindow="-108" windowWidth="23256" windowHeight="13896" tabRatio="763" activeTab="1" xr2:uid="{00000000-000D-0000-FFFF-FFFF00000000}"/>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D20" i="5" l="1"/>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O100" i="2" s="1"/>
  <c r="AK99"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L95" i="2" l="1"/>
  <c r="AN100" i="2"/>
  <c r="AL102" i="2"/>
  <c r="AK102" i="2"/>
  <c r="AN102" i="2" s="1"/>
  <c r="AM102" i="2"/>
  <c r="AO102" i="2" s="1"/>
  <c r="AL101" i="2"/>
  <c r="AM101" i="2"/>
  <c r="AO101" i="2" s="1"/>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l="1"/>
  <c r="F96" i="2"/>
  <c r="F98" i="2" l="1"/>
  <c r="V47" i="2" s="1"/>
  <c r="K87" i="2"/>
  <c r="D23" i="5" l="1"/>
</calcChain>
</file>

<file path=xl/sharedStrings.xml><?xml version="1.0" encoding="utf-8"?>
<sst xmlns="http://schemas.openxmlformats.org/spreadsheetml/2006/main" count="717" uniqueCount="403">
  <si>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</si>
  <si>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</si>
  <si>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</si>
  <si>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</si>
  <si>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</si>
  <si>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</si>
  <si>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</si>
  <si>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</si>
  <si>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</si>
  <si>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</si>
  <si>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</si>
  <si>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</si>
  <si>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</si>
  <si>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</si>
  <si>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</si>
  <si>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</si>
  <si>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</si>
  <si>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</si>
  <si>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</si>
  <si>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</si>
  <si>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</si>
  <si>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</si>
  <si>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</si>
  <si>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</si>
  <si>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</si>
  <si>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</si>
  <si>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</si>
  <si>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</si>
  <si>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</si>
  <si>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</si>
  <si>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</si>
  <si>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</si>
  <si>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</si>
  <si>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</si>
  <si>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</si>
  <si>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</si>
  <si>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</si>
  <si>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</si>
  <si>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</si>
  <si>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</si>
  <si>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</si>
  <si>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</si>
  <si>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</si>
  <si>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</si>
  <si>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</si>
  <si>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</si>
  <si>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</si>
  <si>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</si>
  <si>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</si>
  <si>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</si>
  <si>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</si>
  <si>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</si>
  <si>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</si>
  <si>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</si>
  <si>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</si>
  <si>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</si>
  <si>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</si>
  <si>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</si>
  <si>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</si>
  <si>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</si>
  <si>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</si>
  <si>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</si>
  <si>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</si>
  <si>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</si>
  <si>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</si>
  <si>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</si>
  <si>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</si>
  <si>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</si>
  <si>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</si>
  <si>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</si>
  <si>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</si>
  <si>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</si>
  <si>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</si>
  <si>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</si>
  <si>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</si>
  <si>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</si>
  <si>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</si>
  <si>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</si>
  <si>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</si>
  <si>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</si>
  <si>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</si>
  <si>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</si>
  <si>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</si>
  <si>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</si>
  <si>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</si>
  <si>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</si>
  <si>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</si>
  <si>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</si>
  <si>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</si>
  <si>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</si>
  <si>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</si>
  <si>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</si>
  <si>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</si>
  <si>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</si>
  <si>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</si>
  <si>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</si>
  <si>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</si>
  <si>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</si>
  <si>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</si>
  <si>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</si>
  <si>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</si>
  <si>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</si>
  <si>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</si>
  <si>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</si>
  <si>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</si>
  <si>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</si>
  <si>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</si>
  <si>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</si>
  <si>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</si>
  <si>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</si>
  <si>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</si>
  <si>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</si>
  <si>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</si>
  <si>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</si>
  <si>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</si>
  <si>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</si>
  <si>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</si>
  <si>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</si>
  <si>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</si>
  <si>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</si>
  <si>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</si>
  <si>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</si>
  <si>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</si>
  <si>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</si>
  <si>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</si>
  <si>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</si>
  <si>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</si>
  <si>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</si>
  <si>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</si>
  <si>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</si>
  <si>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</si>
  <si>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</si>
  <si>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</si>
  <si>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</si>
  <si>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</si>
  <si>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</si>
  <si>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</si>
  <si>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</si>
  <si>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</si>
  <si>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</si>
  <si>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</si>
  <si>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</si>
  <si>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</si>
  <si>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</si>
  <si>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</si>
  <si>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</si>
  <si>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</si>
  <si>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</si>
  <si>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</si>
  <si>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</si>
  <si>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</si>
  <si>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</si>
  <si>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</si>
  <si>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</si>
  <si>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</si>
  <si>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</si>
  <si>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</si>
  <si>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</si>
  <si>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</si>
  <si>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</si>
  <si>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</si>
  <si>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</si>
  <si>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</si>
  <si>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</si>
  <si>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</si>
  <si>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</si>
  <si>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</si>
  <si>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</si>
  <si>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</si>
  <si>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</si>
  <si>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</si>
  <si>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</si>
  <si>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</si>
  <si>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</si>
  <si>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</si>
  <si>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</si>
  <si>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</si>
  <si>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</si>
  <si>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</si>
  <si>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</si>
  <si>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</si>
  <si>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</si>
  <si>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</si>
  <si>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</si>
  <si>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</si>
  <si>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</si>
  <si>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</si>
  <si>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</si>
  <si>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</si>
  <si>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</si>
  <si>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</si>
  <si>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</si>
  <si>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</si>
  <si>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</si>
  <si>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</si>
  <si>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</si>
  <si>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</si>
  <si>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</si>
  <si>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</si>
  <si>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</si>
  <si>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</si>
  <si>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</si>
  <si>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</si>
  <si>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</si>
  <si>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</si>
  <si>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</si>
  <si>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</si>
  <si>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</si>
  <si>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</si>
  <si>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</si>
  <si>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</si>
  <si>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</si>
  <si>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</si>
  <si>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</si>
  <si>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</si>
  <si>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</si>
  <si>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</si>
  <si>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</si>
  <si>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</si>
  <si>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</si>
  <si>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</si>
  <si>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</si>
  <si>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</si>
  <si>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</si>
  <si>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</si>
  <si>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</si>
  <si>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</si>
  <si>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</si>
  <si>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</si>
  <si>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</si>
  <si>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</si>
  <si>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</si>
  <si>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</si>
  <si>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</si>
  <si>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</si>
  <si>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</si>
  <si>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</si>
  <si>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</si>
  <si>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</si>
  <si>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</si>
  <si>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</si>
  <si>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</si>
  <si>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</si>
  <si>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</si>
  <si>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</si>
  <si>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</si>
  <si>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</si>
  <si>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</si>
  <si>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</si>
  <si>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</si>
  <si>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</si>
  <si>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</si>
  <si>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</si>
  <si>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</si>
  <si>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</si>
  <si>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</si>
  <si>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</si>
  <si>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</si>
  <si>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</si>
  <si>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</si>
  <si>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</si>
  <si>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</si>
  <si>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</si>
  <si>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</si>
  <si>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</si>
  <si>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</si>
  <si>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</si>
  <si>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</si>
  <si>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</si>
  <si>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</si>
  <si>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</si>
  <si>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</si>
  <si>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</si>
  <si>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</si>
  <si>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</si>
  <si>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</si>
  <si>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</si>
  <si>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</si>
  <si>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</si>
  <si>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</si>
  <si>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</si>
  <si>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</si>
  <si>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</si>
  <si>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</si>
  <si>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</si>
  <si>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</si>
  <si>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</si>
  <si>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</si>
  <si>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</si>
  <si>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</si>
  <si>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</si>
  <si>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</si>
  <si>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</si>
  <si>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</si>
  <si>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</si>
  <si>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</si>
  <si>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</si>
  <si>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</si>
  <si>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</si>
  <si>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</si>
  <si>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</si>
  <si>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</si>
  <si>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</si>
  <si>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</si>
  <si>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</si>
  <si>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</si>
  <si>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</si>
  <si>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</si>
  <si>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</si>
  <si>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</si>
  <si>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</si>
  <si>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</si>
  <si>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</si>
  <si>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</si>
  <si>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</si>
  <si>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</si>
  <si>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</si>
  <si>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</si>
  <si>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</si>
  <si>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</si>
  <si>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</si>
  <si>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</si>
  <si>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</si>
  <si>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</si>
  <si>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</si>
  <si>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</si>
  <si>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</si>
  <si>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</si>
  <si>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</si>
  <si>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</si>
  <si>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</si>
  <si>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</si>
  <si>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</si>
  <si>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</si>
  <si>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</si>
  <si>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</si>
  <si>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</si>
  <si>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</si>
  <si>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</si>
  <si>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</si>
  <si>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</si>
  <si>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</si>
  <si>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</si>
  <si>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</si>
  <si>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</si>
  <si>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</si>
  <si>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</si>
  <si>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</si>
  <si>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</si>
  <si>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</si>
  <si>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</si>
  <si>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</si>
  <si>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</si>
  <si>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</si>
  <si>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</si>
  <si>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</si>
  <si>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</si>
  <si>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</si>
  <si>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</si>
  <si>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</si>
  <si>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</si>
  <si>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</si>
  <si>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</si>
  <si>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</si>
  <si>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</si>
  <si>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</si>
  <si>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</si>
  <si>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</si>
  <si>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</si>
  <si>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</si>
  <si>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</si>
  <si>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</si>
  <si>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</si>
  <si>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</si>
  <si>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</si>
  <si>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</si>
  <si>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</si>
  <si>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</si>
  <si>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</si>
  <si>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</si>
  <si>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</si>
  <si>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</si>
  <si>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</si>
  <si>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</si>
  <si>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</si>
  <si>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</si>
  <si>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</si>
  <si>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</si>
  <si>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</si>
  <si>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</si>
  <si>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</si>
  <si>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</si>
  <si>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</si>
  <si>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</si>
  <si>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</si>
  <si>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</si>
  <si>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</si>
  <si>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</si>
  <si>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</si>
  <si>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</si>
  <si>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</si>
  <si>
    <t>ばんだい荘あおばアリーナ天井改修工事（建築）</t>
    <phoneticPr fontId="35"/>
  </si>
  <si>
    <t xml:space="preserve">第25-21025-0002号 </t>
    <rPh sb="0" eb="1">
      <t>ダイ</t>
    </rPh>
    <rPh sb="14" eb="15">
      <t>ゴウ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</si>
</sst>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54" fillId="0" borderId="0" xfId="0" applyFont="1" applyAlignment="1">
      <alignment horizontal="justify" vertical="top"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0" xfId="0" applyFont="1" applyBorder="1" applyAlignment="1">
      <alignment horizontal="center" vertical="center" textRotation="255"/>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53" fillId="0" borderId="24" xfId="0" applyFont="1" applyBorder="1" applyAlignment="1">
      <alignment horizontal="center" vertical="center"/>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1" fillId="35" borderId="43"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16"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8"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21"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19" xfId="0" applyFont="1" applyBorder="1" applyAlignment="1">
      <alignment horizontal="left" vertical="center" wrapText="1"/>
    </xf>
    <xf numFmtId="0" fontId="23" fillId="0" borderId="13"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19" fillId="0" borderId="18" xfId="0" applyFont="1" applyBorder="1" applyAlignment="1">
      <alignment horizontal="right" vertical="center"/>
    </xf>
    <xf numFmtId="0" fontId="19" fillId="0" borderId="20" xfId="0" applyFont="1" applyBorder="1" applyAlignment="1">
      <alignment horizontal="right"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19" fillId="0" borderId="19" xfId="0" applyFont="1" applyBorder="1" applyAlignment="1">
      <alignment horizontal="right" vertical="center"/>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12" xfId="0" applyFont="1" applyBorder="1" applyAlignment="1">
      <alignment horizontal="left" vertical="center"/>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0" xfId="0" applyFont="1" applyAlignment="1">
      <alignment horizontal="left" vertical="center" wrapText="1"/>
    </xf>
    <xf numFmtId="0" fontId="37" fillId="0" borderId="25"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7" xfId="0" applyFont="1" applyBorder="1" applyAlignment="1">
      <alignment horizontal="left" vertical="center" wrapText="1"/>
    </xf>
    <xf numFmtId="0" fontId="21" fillId="35" borderId="44" xfId="0" applyFont="1" applyFill="1" applyBorder="1" applyAlignment="1" applyProtection="1">
      <alignment horizontal="left" vertical="center" wrapText="1" shrinkToFit="1"/>
      <protection locked="0"/>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26" fillId="0" borderId="54"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0" fontId="53" fillId="0" borderId="56" xfId="0" applyFont="1" applyBorder="1" applyAlignment="1">
      <alignment horizontal="center" vertical="center" wrapText="1"/>
    </xf>
    <xf numFmtId="0" fontId="24" fillId="0" borderId="12" xfId="0" applyFont="1" applyBorder="1" applyAlignment="1">
      <alignment horizontal="left" vertical="center" wrapText="1"/>
    </xf>
    <xf numFmtId="0" fontId="24"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24"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24"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180" fontId="19" fillId="38" borderId="53" xfId="0" applyNumberFormat="1" applyFont="1" applyFill="1" applyBorder="1" applyAlignment="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view="pageBreakPreview" topLeftCell="A17" zoomScaleNormal="60" zoomScaleSheetLayoutView="100" workbookViewId="0">
      <selection activeCell="D14" sqref="D14:E14"/>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79" t="s">
        <v>240</v>
      </c>
      <c r="D1" s="279"/>
      <c r="E1" s="279"/>
      <c r="F1" s="279"/>
      <c r="H1" t="s">
        <v>400</v>
      </c>
    </row>
    <row r="2" spans="2:10" ht="19.95" customHeight="1" x14ac:dyDescent="0.2">
      <c r="C2" s="147" t="s">
        <v>309</v>
      </c>
    </row>
    <row r="3" spans="2:10" ht="19.95" customHeight="1" x14ac:dyDescent="0.2">
      <c r="B3" s="25"/>
      <c r="C3" s="146" t="s">
        <v>311</v>
      </c>
    </row>
    <row r="4" spans="2:10" ht="30" customHeight="1" x14ac:dyDescent="0.2">
      <c r="B4" s="25"/>
      <c r="C4" s="137" t="s">
        <v>297</v>
      </c>
      <c r="D4" s="271" t="s">
        <v>316</v>
      </c>
      <c r="E4" s="272"/>
      <c r="F4" s="137" t="s">
        <v>291</v>
      </c>
      <c r="H4" s="158" t="s">
        <v>315</v>
      </c>
    </row>
    <row r="5" spans="2:10" ht="30" customHeight="1" x14ac:dyDescent="0.2">
      <c r="B5" s="25"/>
      <c r="C5" s="1" t="s">
        <v>285</v>
      </c>
      <c r="D5" s="273" t="s">
        <v>292</v>
      </c>
      <c r="E5" s="274"/>
      <c r="F5" s="135"/>
      <c r="H5" s="11" t="str">
        <f t="shared" ref="H5:H10" si="0">D5</f>
        <v>令和○年○月○日</v>
      </c>
    </row>
    <row r="6" spans="2:10" ht="30" customHeight="1" x14ac:dyDescent="0.2">
      <c r="B6" s="25"/>
      <c r="C6" s="1" t="s">
        <v>286</v>
      </c>
      <c r="D6" s="275" t="s">
        <v>312</v>
      </c>
      <c r="E6" s="276"/>
      <c r="F6" s="1" t="s">
        <v>294</v>
      </c>
      <c r="H6" s="11" t="str">
        <f t="shared" si="0"/>
        <v>○○市○○町○○番地</v>
      </c>
    </row>
    <row r="7" spans="2:10" ht="30" customHeight="1" x14ac:dyDescent="0.2">
      <c r="B7" s="25"/>
      <c r="C7" s="1" t="s">
        <v>287</v>
      </c>
      <c r="D7" s="277" t="s">
        <v>278</v>
      </c>
      <c r="E7" s="278"/>
      <c r="F7" s="1" t="s">
        <v>299</v>
      </c>
      <c r="H7" s="11" t="str">
        <f t="shared" si="0"/>
        <v>株式会社○○○○</v>
      </c>
    </row>
    <row r="8" spans="2:10" ht="30" customHeight="1" x14ac:dyDescent="0.2">
      <c r="B8" s="25"/>
      <c r="C8" s="1" t="s">
        <v>288</v>
      </c>
      <c r="D8" s="275" t="s">
        <v>295</v>
      </c>
      <c r="E8" s="276"/>
      <c r="F8" s="1" t="s">
        <v>299</v>
      </c>
      <c r="H8" s="11" t="str">
        <f t="shared" si="0"/>
        <v>代表取締役　○○○○</v>
      </c>
    </row>
    <row r="9" spans="2:10" ht="30" customHeight="1" x14ac:dyDescent="0.2">
      <c r="B9" s="25"/>
      <c r="C9" s="1" t="s">
        <v>289</v>
      </c>
      <c r="D9" s="275" t="s">
        <v>310</v>
      </c>
      <c r="E9" s="276"/>
      <c r="F9" s="1" t="s">
        <v>299</v>
      </c>
      <c r="H9" s="11" t="str">
        <f t="shared" si="0"/>
        <v>000-000-0000</v>
      </c>
    </row>
    <row r="10" spans="2:10" ht="30" customHeight="1" x14ac:dyDescent="0.2">
      <c r="B10" s="25"/>
      <c r="C10" s="1" t="s">
        <v>290</v>
      </c>
      <c r="D10" s="275" t="s">
        <v>296</v>
      </c>
      <c r="E10" s="276"/>
      <c r="F10" s="1" t="s">
        <v>299</v>
      </c>
      <c r="H10" s="11" t="str">
        <f t="shared" si="0"/>
        <v>○○○○</v>
      </c>
    </row>
    <row r="11" spans="2:10" ht="30" customHeight="1" x14ac:dyDescent="0.2">
      <c r="B11" s="25"/>
      <c r="C11" s="1" t="s">
        <v>293</v>
      </c>
      <c r="D11" s="275" t="s">
        <v>321</v>
      </c>
      <c r="E11" s="276"/>
      <c r="F11" s="244" t="s">
        <v>314</v>
      </c>
      <c r="H11" s="11" t="str">
        <f>D11</f>
        <v>○○・△△特定建設工事共同企業体</v>
      </c>
    </row>
    <row r="12" spans="2:10" ht="30" customHeight="1" x14ac:dyDescent="0.2">
      <c r="C12" s="137" t="s">
        <v>298</v>
      </c>
      <c r="D12" s="271" t="s">
        <v>317</v>
      </c>
      <c r="E12" s="272"/>
      <c r="F12" s="137" t="s">
        <v>133</v>
      </c>
      <c r="H12" s="158" t="s">
        <v>320</v>
      </c>
    </row>
    <row r="13" spans="2:10" ht="30" customHeight="1" x14ac:dyDescent="0.2">
      <c r="C13" s="148" t="s">
        <v>132</v>
      </c>
      <c r="D13" s="273">
        <v>45938</v>
      </c>
      <c r="E13" s="274"/>
      <c r="F13" s="264" t="s">
        <v>390</v>
      </c>
      <c r="G13" s="27"/>
      <c r="H13" s="11">
        <f t="shared" ref="H13:H15" si="1">D13</f>
        <v>45938</v>
      </c>
      <c r="I13" s="12"/>
      <c r="J13" s="12"/>
    </row>
    <row r="14" spans="2:10" ht="30" customHeight="1" x14ac:dyDescent="0.2">
      <c r="C14" s="26" t="s">
        <v>130</v>
      </c>
      <c r="D14" s="282" t="s">
        <v>402</v>
      </c>
      <c r="E14" s="283"/>
      <c r="F14" s="264" t="s">
        <v>391</v>
      </c>
      <c r="G14" s="27"/>
      <c r="H14" s="11" t="str">
        <f>D14</f>
        <v xml:space="preserve">第25-21025-0002号 </v>
      </c>
      <c r="I14" s="12"/>
      <c r="J14" s="12"/>
    </row>
    <row r="15" spans="2:10" ht="30" customHeight="1" x14ac:dyDescent="0.2">
      <c r="C15" s="28" t="s">
        <v>131</v>
      </c>
      <c r="D15" s="286" t="s">
        <v>401</v>
      </c>
      <c r="E15" s="287"/>
      <c r="F15" s="265" t="s">
        <v>392</v>
      </c>
      <c r="G15" s="27"/>
      <c r="H15" s="11" t="str">
        <f t="shared" si="1"/>
        <v>ばんだい荘あおばアリーナ天井改修工事（建築）</v>
      </c>
      <c r="I15" s="12"/>
      <c r="J15" s="12"/>
    </row>
    <row r="16" spans="2:10" ht="30" customHeight="1" x14ac:dyDescent="0.2">
      <c r="C16" s="29" t="s">
        <v>235</v>
      </c>
      <c r="D16" s="284" t="s">
        <v>174</v>
      </c>
      <c r="E16" s="285"/>
      <c r="F16" s="159" t="s">
        <v>318</v>
      </c>
      <c r="H16" s="13">
        <f>IF(OR(D16="一般土木工事",D16="舗装工事"),1,IF(OR(D16="建築工事",D16="電気設備工事",D16="暖冷房衛生設備工事"),2,10))</f>
        <v>2</v>
      </c>
      <c r="I16" t="s">
        <v>380</v>
      </c>
    </row>
    <row r="17" spans="3:9" ht="30" customHeight="1" x14ac:dyDescent="0.2">
      <c r="C17" s="28" t="s">
        <v>191</v>
      </c>
      <c r="D17" s="277" t="s">
        <v>4</v>
      </c>
      <c r="E17" s="278"/>
      <c r="F17" s="159"/>
      <c r="H17" s="13">
        <f>VLOOKUP(D17,リスト2!G3:I6,3,FALSE)</f>
        <v>3</v>
      </c>
      <c r="I17" t="s">
        <v>228</v>
      </c>
    </row>
    <row r="18" spans="3:9" ht="30" customHeight="1" x14ac:dyDescent="0.2">
      <c r="C18" s="280" t="s">
        <v>236</v>
      </c>
      <c r="D18" s="30" t="s">
        <v>120</v>
      </c>
      <c r="E18" s="30" t="s">
        <v>126</v>
      </c>
      <c r="F18" s="280" t="s">
        <v>319</v>
      </c>
    </row>
    <row r="19" spans="3:9" ht="30" customHeight="1" x14ac:dyDescent="0.2">
      <c r="C19" s="281"/>
      <c r="D19" s="136" t="s">
        <v>31</v>
      </c>
      <c r="E19" s="136" t="s">
        <v>168</v>
      </c>
      <c r="F19" s="281"/>
    </row>
    <row r="20" spans="3:9" ht="30" customHeight="1" x14ac:dyDescent="0.2">
      <c r="C20" s="11" t="s">
        <v>128</v>
      </c>
      <c r="D20" s="1" t="str">
        <f>VLOOKUP(D19,リスト2!$C$3:$E$64,2,FALSE)</f>
        <v>猪苗代土木</v>
      </c>
      <c r="E20" s="1" t="str">
        <f>VLOOKUP(E19,リスト2!$C$3:$E$64,2,FALSE)</f>
        <v>-</v>
      </c>
      <c r="F20" s="1" t="s">
        <v>234</v>
      </c>
    </row>
    <row r="21" spans="3:9" ht="30" customHeight="1" x14ac:dyDescent="0.2">
      <c r="C21" s="11" t="s">
        <v>129</v>
      </c>
      <c r="D21" s="1" t="str">
        <f>VLOOKUP(D19,リスト2!$C$3:$E$64,3,FALSE)</f>
        <v>喜多方建設</v>
      </c>
      <c r="E21" s="1" t="str">
        <f>VLOOKUP(E19,リスト2!$C$3:$E$64,3,FALSE)</f>
        <v>-</v>
      </c>
      <c r="F21" s="1" t="s">
        <v>127</v>
      </c>
    </row>
    <row r="22" spans="3:9" ht="30" customHeight="1" x14ac:dyDescent="0.2">
      <c r="F22" s="139" t="s">
        <v>233</v>
      </c>
    </row>
    <row r="23" spans="3:9" ht="30" customHeight="1" x14ac:dyDescent="0.2">
      <c r="C23" s="1" t="s">
        <v>124</v>
      </c>
      <c r="D23" s="31">
        <f>'2.様式第1号、第11号-1(特別簡易型)'!V47</f>
        <v>0</v>
      </c>
      <c r="E23" s="1" t="s">
        <v>125</v>
      </c>
      <c r="F23" s="138" t="s">
        <v>300</v>
      </c>
    </row>
    <row r="24" spans="3:9" ht="20.100000000000001" customHeight="1" x14ac:dyDescent="0.2"/>
    <row r="33" customFormat="1" x14ac:dyDescent="0.2"/>
  </sheetData>
  <sheetProtection algorithmName="SHA-512" hashValue="1vNtaSx2evp1d0EemH910DNxhEL7j7qD3jefaSzK0s6OXx2cPRCUzpDO6P4wM9xoylsZBaWKjiN1YGcz3WtkRQ==" saltValue="PDFd+Quq4uVvFnnxe5YFWw==" spinCount="10000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showGridLines="0" tabSelected="1" view="pageBreakPreview" zoomScale="85" zoomScaleNormal="60" zoomScaleSheetLayoutView="85" workbookViewId="0">
      <selection activeCell="I52" sqref="I52:Q52"/>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369</v>
      </c>
    </row>
    <row r="5" spans="1:19" s="201" customFormat="1" ht="38.4" customHeight="1" x14ac:dyDescent="0.2">
      <c r="A5" s="452" t="s">
        <v>368</v>
      </c>
      <c r="B5" s="452"/>
      <c r="C5" s="452"/>
      <c r="D5" s="452"/>
      <c r="E5" s="452"/>
      <c r="F5" s="452"/>
      <c r="G5" s="452"/>
      <c r="H5" s="452"/>
      <c r="I5" s="452"/>
      <c r="J5" s="452"/>
      <c r="K5" s="452"/>
      <c r="L5" s="452"/>
      <c r="M5" s="452"/>
      <c r="N5" s="452"/>
      <c r="O5" s="452"/>
      <c r="P5" s="452"/>
      <c r="Q5" s="452"/>
      <c r="R5" s="452"/>
      <c r="S5" s="452"/>
    </row>
    <row r="6" spans="1:19" s="201" customFormat="1" ht="19.95" customHeight="1" x14ac:dyDescent="0.2">
      <c r="A6" s="165"/>
      <c r="B6" s="204"/>
      <c r="C6" s="205"/>
      <c r="D6" s="205"/>
      <c r="E6" s="205"/>
      <c r="F6" s="205"/>
      <c r="G6" s="205"/>
      <c r="H6" s="205"/>
      <c r="I6" s="205"/>
      <c r="J6" s="205"/>
      <c r="K6" s="205"/>
      <c r="L6" s="205"/>
      <c r="M6" s="205"/>
      <c r="N6" s="205"/>
      <c r="O6" s="215"/>
      <c r="P6" s="215"/>
      <c r="Q6" s="454"/>
      <c r="R6" s="454"/>
      <c r="S6" s="454"/>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2" customHeight="1" x14ac:dyDescent="0.2">
      <c r="A10" s="166"/>
      <c r="B10" s="204"/>
      <c r="C10" s="205"/>
      <c r="D10" s="205"/>
      <c r="E10" s="205"/>
      <c r="F10" s="205"/>
      <c r="G10" s="205"/>
      <c r="H10" s="205"/>
      <c r="I10" s="205"/>
      <c r="J10" s="205"/>
      <c r="K10" s="205"/>
      <c r="L10" s="477" t="str">
        <f>IF('1.基本データ(このシートは削除しないこと！)'!H11=0,"",'1.基本データ(このシートは削除しないこと！)'!H11)</f>
        <v>○○・△△特定建設工事共同企業体</v>
      </c>
      <c r="M10" s="477"/>
      <c r="N10" s="477"/>
      <c r="O10" s="477"/>
      <c r="P10" s="477"/>
      <c r="Q10" s="477"/>
      <c r="R10" s="477"/>
      <c r="S10" s="477"/>
    </row>
    <row r="11" spans="1:19" s="201" customFormat="1" ht="25.2" customHeight="1" x14ac:dyDescent="0.2">
      <c r="B11" s="205"/>
      <c r="C11" s="205"/>
      <c r="D11" s="205"/>
      <c r="E11" s="205"/>
      <c r="F11" s="205"/>
      <c r="G11" s="205"/>
      <c r="H11" s="205"/>
      <c r="I11" s="205"/>
      <c r="J11" s="205"/>
      <c r="K11" s="206" t="str">
        <f>IF('1.基本データ(このシートは削除しないこと！)'!H11=0," ","代表構成員")</f>
        <v>代表構成員</v>
      </c>
      <c r="L11" s="478" t="str">
        <f>'1.基本データ(このシートは削除しないこと！)'!H6</f>
        <v>○○市○○町○○番地</v>
      </c>
      <c r="M11" s="478"/>
      <c r="N11" s="478"/>
      <c r="O11" s="478"/>
      <c r="P11" s="478"/>
      <c r="Q11" s="478"/>
      <c r="R11" s="478"/>
      <c r="S11" s="478"/>
    </row>
    <row r="12" spans="1:19" s="201" customFormat="1" ht="25.2" customHeight="1" x14ac:dyDescent="0.25">
      <c r="A12" s="165"/>
      <c r="B12" s="205"/>
      <c r="C12" s="205"/>
      <c r="D12" s="205"/>
      <c r="E12" s="205"/>
      <c r="F12" s="205"/>
      <c r="G12" s="483" t="s">
        <v>370</v>
      </c>
      <c r="H12" s="483"/>
      <c r="I12" s="483"/>
      <c r="J12" s="483"/>
      <c r="K12" s="483"/>
      <c r="L12" s="478"/>
      <c r="M12" s="478"/>
      <c r="N12" s="478"/>
      <c r="O12" s="478"/>
      <c r="P12" s="478"/>
      <c r="Q12" s="478"/>
      <c r="R12" s="478"/>
      <c r="S12" s="478"/>
    </row>
    <row r="13" spans="1:19" s="201" customFormat="1" ht="25.2" customHeight="1" x14ac:dyDescent="0.25">
      <c r="A13" s="165"/>
      <c r="B13" s="205"/>
      <c r="C13" s="205"/>
      <c r="D13" s="205"/>
      <c r="E13" s="205"/>
      <c r="F13" s="205"/>
      <c r="G13" s="483" t="s">
        <v>5</v>
      </c>
      <c r="H13" s="483"/>
      <c r="I13" s="483"/>
      <c r="J13" s="483"/>
      <c r="K13" s="483"/>
      <c r="L13" s="479" t="str">
        <f>'1.基本データ(このシートは削除しないこと！)'!H7</f>
        <v>株式会社○○○○</v>
      </c>
      <c r="M13" s="479"/>
      <c r="N13" s="479"/>
      <c r="O13" s="479"/>
      <c r="P13" s="479"/>
      <c r="Q13" s="479"/>
      <c r="R13" s="479"/>
      <c r="S13" s="479"/>
    </row>
    <row r="14" spans="1:19" s="201" customFormat="1" ht="25.2" customHeight="1" x14ac:dyDescent="0.25">
      <c r="A14" s="165"/>
      <c r="B14" s="205"/>
      <c r="C14" s="205"/>
      <c r="D14" s="205"/>
      <c r="E14" s="205"/>
      <c r="F14" s="205"/>
      <c r="G14" s="483" t="s">
        <v>12</v>
      </c>
      <c r="H14" s="483"/>
      <c r="I14" s="483"/>
      <c r="J14" s="483"/>
      <c r="K14" s="483"/>
      <c r="L14" s="479" t="str">
        <f>'1.基本データ(このシートは削除しないこと！)'!H8</f>
        <v>代表取締役　○○○○</v>
      </c>
      <c r="M14" s="479"/>
      <c r="N14" s="479"/>
      <c r="O14" s="479"/>
      <c r="P14" s="479"/>
      <c r="Q14" s="479"/>
      <c r="R14" s="479"/>
      <c r="S14" s="479"/>
    </row>
    <row r="15" spans="1:19" s="201" customFormat="1" ht="25.2"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2" customHeight="1" x14ac:dyDescent="0.2">
      <c r="A16" s="165"/>
      <c r="B16" s="205"/>
      <c r="C16" s="205"/>
      <c r="D16" s="204"/>
      <c r="E16" s="205"/>
      <c r="F16" s="205"/>
      <c r="G16" s="482" t="s">
        <v>6</v>
      </c>
      <c r="H16" s="482"/>
      <c r="I16" s="482"/>
      <c r="J16" s="482"/>
      <c r="K16" s="482"/>
      <c r="L16" s="477" t="str">
        <f>'1.基本データ(このシートは削除しないこと！)'!H9</f>
        <v>000-000-0000</v>
      </c>
      <c r="M16" s="477"/>
      <c r="N16" s="477"/>
      <c r="O16" s="477"/>
      <c r="P16" s="477"/>
      <c r="Q16" s="477"/>
      <c r="R16" s="477"/>
      <c r="S16" s="477"/>
    </row>
    <row r="17" spans="1:19" s="201" customFormat="1" ht="25.2" customHeight="1" x14ac:dyDescent="0.2">
      <c r="A17" s="165"/>
      <c r="B17" s="205"/>
      <c r="C17" s="205"/>
      <c r="D17" s="204"/>
      <c r="E17" s="205"/>
      <c r="F17" s="205"/>
      <c r="G17" s="481" t="s">
        <v>13</v>
      </c>
      <c r="H17" s="481"/>
      <c r="I17" s="481"/>
      <c r="J17" s="481"/>
      <c r="K17" s="481"/>
      <c r="L17" s="480" t="str">
        <f>'1.基本データ(このシートは削除しないこと！)'!H10</f>
        <v>○○○○</v>
      </c>
      <c r="M17" s="480"/>
      <c r="N17" s="480"/>
      <c r="O17" s="480"/>
      <c r="P17" s="480"/>
      <c r="Q17" s="480"/>
      <c r="R17" s="480"/>
      <c r="S17" s="480"/>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453"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令和7年10月8日付けで公告のありました第25-21025-0002号 ばんだい荘あおばアリーナ天井改修工事（建築）について入札いたしますので、下記の書類を添えて技術提案書を提出します。　　　
　なお、提出する書類の内容は、事実と相違ないことを誓約します。</v>
      </c>
      <c r="D20" s="453"/>
      <c r="E20" s="453"/>
      <c r="F20" s="453"/>
      <c r="G20" s="453"/>
      <c r="H20" s="453"/>
      <c r="I20" s="453"/>
      <c r="J20" s="453"/>
      <c r="K20" s="453"/>
      <c r="L20" s="453"/>
      <c r="M20" s="453"/>
      <c r="N20" s="453"/>
      <c r="O20" s="453"/>
      <c r="P20" s="453"/>
      <c r="Q20" s="453"/>
      <c r="R20" s="453"/>
      <c r="S20" s="453"/>
    </row>
    <row r="21" spans="1:19" s="201" customFormat="1" ht="19.95" customHeight="1" x14ac:dyDescent="0.2">
      <c r="B21" s="205"/>
      <c r="C21" s="453"/>
      <c r="D21" s="453"/>
      <c r="E21" s="453"/>
      <c r="F21" s="453"/>
      <c r="G21" s="453"/>
      <c r="H21" s="453"/>
      <c r="I21" s="453"/>
      <c r="J21" s="453"/>
      <c r="K21" s="453"/>
      <c r="L21" s="453"/>
      <c r="M21" s="453"/>
      <c r="N21" s="453"/>
      <c r="O21" s="453"/>
      <c r="P21" s="453"/>
      <c r="Q21" s="453"/>
      <c r="R21" s="453"/>
      <c r="S21" s="453"/>
    </row>
    <row r="22" spans="1:19" s="201" customFormat="1" ht="19.95" customHeight="1" x14ac:dyDescent="0.2">
      <c r="B22" s="205"/>
      <c r="C22" s="453"/>
      <c r="D22" s="453"/>
      <c r="E22" s="453"/>
      <c r="F22" s="453"/>
      <c r="G22" s="453"/>
      <c r="H22" s="453"/>
      <c r="I22" s="453"/>
      <c r="J22" s="453"/>
      <c r="K22" s="453"/>
      <c r="L22" s="453"/>
      <c r="M22" s="453"/>
      <c r="N22" s="453"/>
      <c r="O22" s="453"/>
      <c r="P22" s="453"/>
      <c r="Q22" s="453"/>
      <c r="R22" s="453"/>
      <c r="S22" s="453"/>
    </row>
    <row r="23" spans="1:19" s="201" customFormat="1" ht="19.95" customHeight="1" x14ac:dyDescent="0.2">
      <c r="B23" s="205"/>
      <c r="C23" s="453"/>
      <c r="D23" s="453"/>
      <c r="E23" s="453"/>
      <c r="F23" s="453"/>
      <c r="G23" s="453"/>
      <c r="H23" s="453"/>
      <c r="I23" s="453"/>
      <c r="J23" s="453"/>
      <c r="K23" s="453"/>
      <c r="L23" s="453"/>
      <c r="M23" s="453"/>
      <c r="N23" s="453"/>
      <c r="O23" s="453"/>
      <c r="P23" s="453"/>
      <c r="Q23" s="453"/>
      <c r="R23" s="453"/>
      <c r="S23" s="453"/>
    </row>
    <row r="24" spans="1:19" s="201" customFormat="1" ht="19.95" customHeight="1" x14ac:dyDescent="0.2">
      <c r="B24" s="205"/>
      <c r="C24" s="453"/>
      <c r="D24" s="453"/>
      <c r="E24" s="453"/>
      <c r="F24" s="453"/>
      <c r="G24" s="453"/>
      <c r="H24" s="453"/>
      <c r="I24" s="453"/>
      <c r="J24" s="453"/>
      <c r="K24" s="453"/>
      <c r="L24" s="453"/>
      <c r="M24" s="453"/>
      <c r="N24" s="453"/>
      <c r="O24" s="453"/>
      <c r="P24" s="453"/>
      <c r="Q24" s="453"/>
      <c r="R24" s="453"/>
      <c r="S24" s="453"/>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371</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372</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374</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241</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373</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375</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242</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243</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0" t="s">
        <v>2</v>
      </c>
      <c r="U47" s="391"/>
      <c r="V47" s="37">
        <f>SUM(F52:F102)</f>
        <v>0</v>
      </c>
    </row>
    <row r="48" spans="1:22" ht="14.25" customHeight="1" thickTop="1" x14ac:dyDescent="0.2">
      <c r="A48" s="12"/>
      <c r="B48" s="393" t="s">
        <v>244</v>
      </c>
      <c r="C48" s="393"/>
      <c r="D48" s="393"/>
      <c r="E48" s="393"/>
      <c r="F48" s="393"/>
      <c r="G48" s="393"/>
      <c r="H48" s="393"/>
      <c r="I48" s="162"/>
      <c r="J48" s="162"/>
      <c r="K48" s="162"/>
      <c r="L48" s="162"/>
      <c r="M48" s="162"/>
      <c r="N48" s="162"/>
      <c r="O48" s="162"/>
      <c r="P48" s="162"/>
      <c r="Q48" s="38"/>
      <c r="S48" s="39" t="s">
        <v>238</v>
      </c>
    </row>
    <row r="49" spans="1:42" ht="16.5" customHeight="1" x14ac:dyDescent="0.2">
      <c r="A49" s="12"/>
      <c r="B49" s="310" t="s">
        <v>139</v>
      </c>
      <c r="C49" s="310"/>
      <c r="D49" s="310"/>
      <c r="E49" s="311" t="str">
        <f>'1.基本データ(このシートは削除しないこと！)'!H14&amp;'1.基本データ(このシートは削除しないこと！)'!H15</f>
        <v>第25-21025-0002号 ばんだい荘あおばアリーナ天井改修工事（建築）</v>
      </c>
      <c r="F49" s="311"/>
      <c r="G49" s="311"/>
      <c r="H49" s="311"/>
      <c r="I49" s="311"/>
      <c r="J49" s="311"/>
      <c r="K49" s="311"/>
      <c r="L49" s="311"/>
      <c r="M49" s="311"/>
      <c r="N49" s="311"/>
      <c r="O49" s="311"/>
      <c r="P49" s="311"/>
      <c r="Q49" s="311"/>
      <c r="R49" s="311"/>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309" t="s">
        <v>342</v>
      </c>
      <c r="C51" s="309"/>
      <c r="D51" s="309"/>
      <c r="E51" s="43" t="s">
        <v>169</v>
      </c>
      <c r="F51" s="44" t="s">
        <v>1</v>
      </c>
      <c r="G51" s="414" t="s">
        <v>323</v>
      </c>
      <c r="H51" s="415"/>
      <c r="I51" s="415"/>
      <c r="J51" s="415"/>
      <c r="K51" s="415"/>
      <c r="L51" s="415"/>
      <c r="M51" s="415"/>
      <c r="N51" s="415"/>
      <c r="O51" s="415"/>
      <c r="P51" s="415"/>
      <c r="Q51" s="415"/>
      <c r="R51" s="415"/>
      <c r="S51" s="416"/>
      <c r="V51" s="45" t="s">
        <v>136</v>
      </c>
      <c r="AB51" s="46"/>
      <c r="AC51" s="46"/>
      <c r="AD51" s="47" t="s">
        <v>171</v>
      </c>
      <c r="AE51" s="160" t="s">
        <v>172</v>
      </c>
      <c r="AG51" s="46"/>
      <c r="AH51" s="46"/>
      <c r="AP51" s="149" t="s">
        <v>173</v>
      </c>
    </row>
    <row r="52" spans="1:42" ht="34.950000000000003" customHeight="1" thickBot="1" x14ac:dyDescent="0.25">
      <c r="A52" s="12"/>
      <c r="B52" s="298" t="s">
        <v>220</v>
      </c>
      <c r="C52" s="324" t="s">
        <v>354</v>
      </c>
      <c r="D52" s="318"/>
      <c r="E52" s="330">
        <f>AD52</f>
        <v>2</v>
      </c>
      <c r="F52" s="392" t="str">
        <f>IF(Y52=0,"-",AP52)</f>
        <v>-</v>
      </c>
      <c r="G52" s="437" t="s">
        <v>138</v>
      </c>
      <c r="H52" s="438"/>
      <c r="I52" s="427"/>
      <c r="J52" s="428"/>
      <c r="K52" s="428"/>
      <c r="L52" s="428"/>
      <c r="M52" s="428"/>
      <c r="N52" s="428"/>
      <c r="O52" s="428"/>
      <c r="P52" s="428"/>
      <c r="Q52" s="429"/>
      <c r="R52" s="48" t="s">
        <v>256</v>
      </c>
      <c r="S52" s="314"/>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299"/>
      <c r="C53" s="394"/>
      <c r="D53" s="326"/>
      <c r="E53" s="331"/>
      <c r="F53" s="392"/>
      <c r="G53" s="433" t="s">
        <v>345</v>
      </c>
      <c r="H53" s="434"/>
      <c r="I53" s="427"/>
      <c r="J53" s="428"/>
      <c r="K53" s="428"/>
      <c r="L53" s="428"/>
      <c r="M53" s="428"/>
      <c r="N53" s="428"/>
      <c r="O53" s="428"/>
      <c r="P53" s="428"/>
      <c r="Q53" s="429"/>
      <c r="R53" s="412" t="s">
        <v>257</v>
      </c>
      <c r="S53" s="408"/>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299"/>
      <c r="C54" s="394"/>
      <c r="D54" s="326"/>
      <c r="E54" s="331"/>
      <c r="F54" s="392"/>
      <c r="G54" s="435" t="s">
        <v>266</v>
      </c>
      <c r="H54" s="436"/>
      <c r="I54" s="450"/>
      <c r="J54" s="451"/>
      <c r="K54" s="432" t="s">
        <v>247</v>
      </c>
      <c r="L54" s="432"/>
      <c r="M54" s="430" t="s">
        <v>276</v>
      </c>
      <c r="N54" s="431"/>
      <c r="O54" s="431"/>
      <c r="P54" s="243" t="s">
        <v>199</v>
      </c>
      <c r="Q54" s="23" t="s">
        <v>277</v>
      </c>
      <c r="R54" s="413"/>
      <c r="S54" s="315"/>
      <c r="V54" s="1">
        <f>IF(I54="",0,1)</f>
        <v>0</v>
      </c>
      <c r="W54" s="57"/>
      <c r="AA54" s="50" t="s">
        <v>29</v>
      </c>
      <c r="AB54" s="51"/>
      <c r="AC54" s="52">
        <f>IF($I$53=AA54,1,0)</f>
        <v>0</v>
      </c>
      <c r="AD54" s="31">
        <v>0.5</v>
      </c>
      <c r="AE54" s="53">
        <f>AC54*AD54</f>
        <v>0</v>
      </c>
      <c r="AG54" s="54"/>
      <c r="AH54" s="54"/>
      <c r="AJ54" s="14" t="s">
        <v>305</v>
      </c>
      <c r="AK54" s="14" t="s">
        <v>306</v>
      </c>
    </row>
    <row r="55" spans="1:42" ht="34.950000000000003" customHeight="1" thickBot="1" x14ac:dyDescent="0.25">
      <c r="A55" s="12"/>
      <c r="B55" s="395"/>
      <c r="C55" s="406" t="s">
        <v>353</v>
      </c>
      <c r="D55" s="403"/>
      <c r="E55" s="368">
        <f>AD56</f>
        <v>1.5</v>
      </c>
      <c r="F55" s="320" t="str">
        <f>IF(Y55=0,"-",AP56)</f>
        <v>-</v>
      </c>
      <c r="G55" s="295" t="s">
        <v>337</v>
      </c>
      <c r="H55" s="419"/>
      <c r="I55" s="32" t="s">
        <v>248</v>
      </c>
      <c r="J55" s="200"/>
      <c r="K55" s="33" t="s">
        <v>250</v>
      </c>
      <c r="L55" s="409"/>
      <c r="M55" s="410"/>
      <c r="N55" s="33" t="s">
        <v>250</v>
      </c>
      <c r="O55" s="411"/>
      <c r="P55" s="410"/>
      <c r="Q55" s="58" t="s">
        <v>251</v>
      </c>
      <c r="R55" s="195" t="s">
        <v>348</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302</v>
      </c>
      <c r="AH55" s="60"/>
      <c r="AI55" s="52">
        <f>IF($S$56=AG55,1,0)</f>
        <v>0</v>
      </c>
      <c r="AJ55" s="1">
        <v>1.25</v>
      </c>
      <c r="AK55" s="31">
        <f>AI55*AJ55</f>
        <v>0</v>
      </c>
      <c r="AP55" s="149" t="s">
        <v>167</v>
      </c>
    </row>
    <row r="56" spans="1:42" ht="34.950000000000003" customHeight="1" thickBot="1" x14ac:dyDescent="0.25">
      <c r="A56" s="12"/>
      <c r="B56" s="395"/>
      <c r="C56" s="347"/>
      <c r="D56" s="349"/>
      <c r="E56" s="370"/>
      <c r="F56" s="376"/>
      <c r="G56" s="417" t="s">
        <v>385</v>
      </c>
      <c r="H56" s="418"/>
      <c r="I56" s="292"/>
      <c r="J56" s="293"/>
      <c r="K56" s="293"/>
      <c r="L56" s="293"/>
      <c r="M56" s="293"/>
      <c r="N56" s="293"/>
      <c r="O56" s="294"/>
      <c r="P56" s="469" t="s">
        <v>346</v>
      </c>
      <c r="Q56" s="469"/>
      <c r="R56" s="470"/>
      <c r="S56" s="140" t="s">
        <v>168</v>
      </c>
      <c r="V56" s="1">
        <f>IF(AND(I56&lt;&gt;""),1,0)</f>
        <v>0</v>
      </c>
      <c r="W56" s="1">
        <f>IF(S56="-",0,1)</f>
        <v>0</v>
      </c>
      <c r="AA56" s="59" t="s">
        <v>304</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395"/>
      <c r="C57" s="407"/>
      <c r="D57" s="405"/>
      <c r="E57" s="369"/>
      <c r="F57" s="321"/>
      <c r="G57" s="420" t="s">
        <v>322</v>
      </c>
      <c r="H57" s="421"/>
      <c r="I57" s="421"/>
      <c r="J57" s="421"/>
      <c r="K57" s="421"/>
      <c r="L57" s="421"/>
      <c r="M57" s="421"/>
      <c r="N57" s="421"/>
      <c r="O57" s="421"/>
      <c r="P57" s="421"/>
      <c r="Q57" s="421"/>
      <c r="R57" s="421"/>
      <c r="S57" s="422"/>
      <c r="V57" s="1"/>
      <c r="AA57" s="61"/>
      <c r="AB57" s="62"/>
      <c r="AC57" s="63"/>
      <c r="AD57" s="1"/>
      <c r="AE57" s="64"/>
      <c r="AG57" s="61"/>
      <c r="AH57" s="62"/>
      <c r="AI57" s="63"/>
      <c r="AK57" s="64"/>
      <c r="AP57" s="150"/>
    </row>
    <row r="58" spans="1:42" ht="34.950000000000003" customHeight="1" thickBot="1" x14ac:dyDescent="0.25">
      <c r="A58" s="12"/>
      <c r="B58" s="395"/>
      <c r="C58" s="295" t="s">
        <v>270</v>
      </c>
      <c r="D58" s="296"/>
      <c r="E58" s="65">
        <f>AD58</f>
        <v>0.25</v>
      </c>
      <c r="F58" s="66" t="str">
        <f t="shared" ref="F58:F60" si="0">AP58</f>
        <v>-</v>
      </c>
      <c r="G58" s="425" t="s">
        <v>384</v>
      </c>
      <c r="H58" s="426"/>
      <c r="I58" s="426"/>
      <c r="J58" s="426"/>
      <c r="K58" s="426"/>
      <c r="L58" s="426"/>
      <c r="M58" s="426"/>
      <c r="N58" s="426"/>
      <c r="O58" s="426"/>
      <c r="P58" s="426"/>
      <c r="Q58" s="426"/>
      <c r="R58" s="18" t="s">
        <v>347</v>
      </c>
      <c r="S58" s="141" t="s">
        <v>168</v>
      </c>
      <c r="V58" s="1">
        <f>IF(S58="有",1,0)</f>
        <v>0</v>
      </c>
      <c r="AD58" s="31">
        <v>0.25</v>
      </c>
      <c r="AE58" s="67"/>
      <c r="AG58" s="54"/>
      <c r="AH58" s="54"/>
      <c r="AP58" s="151" t="str">
        <f>IF(V58=1,AD58,"-")</f>
        <v>-</v>
      </c>
    </row>
    <row r="59" spans="1:42" ht="34.950000000000003" customHeight="1" thickBot="1" x14ac:dyDescent="0.25">
      <c r="A59" s="12"/>
      <c r="B59" s="395"/>
      <c r="C59" s="295" t="s">
        <v>363</v>
      </c>
      <c r="D59" s="296"/>
      <c r="E59" s="65">
        <f t="shared" ref="E59:E61" si="1">AD59</f>
        <v>0.25</v>
      </c>
      <c r="F59" s="66" t="str">
        <f>IF('1.基本データ(このシートは削除しないこと！)'!H16=1,AP59,"-")</f>
        <v>-</v>
      </c>
      <c r="G59" s="425" t="s">
        <v>366</v>
      </c>
      <c r="H59" s="426"/>
      <c r="I59" s="426"/>
      <c r="J59" s="426"/>
      <c r="K59" s="426"/>
      <c r="L59" s="426"/>
      <c r="M59" s="426"/>
      <c r="N59" s="426"/>
      <c r="O59" s="426"/>
      <c r="P59" s="426"/>
      <c r="Q59" s="426"/>
      <c r="R59" s="18" t="s">
        <v>365</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395"/>
      <c r="C60" s="445" t="s">
        <v>271</v>
      </c>
      <c r="D60" s="446"/>
      <c r="E60" s="65">
        <f t="shared" si="1"/>
        <v>0.25</v>
      </c>
      <c r="F60" s="66" t="str">
        <f t="shared" si="0"/>
        <v>-</v>
      </c>
      <c r="G60" s="423" t="s">
        <v>258</v>
      </c>
      <c r="H60" s="424"/>
      <c r="I60" s="424"/>
      <c r="J60" s="424"/>
      <c r="K60" s="424"/>
      <c r="L60" s="424"/>
      <c r="M60" s="424"/>
      <c r="N60" s="424"/>
      <c r="O60" s="424"/>
      <c r="P60" s="424"/>
      <c r="Q60" s="424"/>
      <c r="R60" s="18" t="s">
        <v>347</v>
      </c>
      <c r="S60" s="142" t="s">
        <v>168</v>
      </c>
      <c r="V60" s="1">
        <f>IF(S60="有",1,0)</f>
        <v>0</v>
      </c>
      <c r="AD60" s="31">
        <v>0.25</v>
      </c>
      <c r="AE60" s="67"/>
      <c r="AG60" s="54"/>
      <c r="AH60" s="54"/>
      <c r="AP60" s="151" t="str">
        <f t="shared" ref="AP60" si="2">IF(V60=1,AD60,"-")</f>
        <v>-</v>
      </c>
    </row>
    <row r="61" spans="1:42" ht="34.950000000000003" customHeight="1" thickBot="1" x14ac:dyDescent="0.25">
      <c r="A61" s="12"/>
      <c r="B61" s="395"/>
      <c r="C61" s="295" t="s">
        <v>364</v>
      </c>
      <c r="D61" s="296"/>
      <c r="E61" s="65">
        <f t="shared" si="1"/>
        <v>0.25</v>
      </c>
      <c r="F61" s="66" t="str">
        <f>IF('1.基本データ(このシートは削除しないこと！)'!H16=1,AP61,"-")</f>
        <v>-</v>
      </c>
      <c r="G61" s="425" t="s">
        <v>367</v>
      </c>
      <c r="H61" s="426"/>
      <c r="I61" s="426"/>
      <c r="J61" s="426"/>
      <c r="K61" s="426"/>
      <c r="L61" s="426"/>
      <c r="M61" s="426"/>
      <c r="N61" s="426"/>
      <c r="O61" s="426"/>
      <c r="P61" s="426"/>
      <c r="Q61" s="426"/>
      <c r="R61" s="18" t="s">
        <v>365</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299"/>
      <c r="C62" s="401" t="s">
        <v>0</v>
      </c>
      <c r="D62" s="328"/>
      <c r="E62" s="194"/>
      <c r="F62" s="194"/>
      <c r="G62" s="316" t="s">
        <v>377</v>
      </c>
      <c r="H62" s="458"/>
      <c r="I62" s="447"/>
      <c r="J62" s="448"/>
      <c r="K62" s="448"/>
      <c r="L62" s="448"/>
      <c r="M62" s="448"/>
      <c r="N62" s="448"/>
      <c r="O62" s="448"/>
      <c r="P62" s="448"/>
      <c r="Q62" s="449"/>
      <c r="R62" s="396" t="s">
        <v>376</v>
      </c>
      <c r="S62" s="397"/>
      <c r="V62" s="19">
        <f>IF(I62="",0,1)</f>
        <v>0</v>
      </c>
      <c r="W62" t="s">
        <v>221</v>
      </c>
      <c r="AD62" s="47" t="s">
        <v>164</v>
      </c>
      <c r="AE62" s="47" t="s">
        <v>147</v>
      </c>
      <c r="AP62" s="149" t="s">
        <v>167</v>
      </c>
    </row>
    <row r="63" spans="1:42" ht="34.950000000000003" customHeight="1" thickBot="1" x14ac:dyDescent="0.25">
      <c r="A63" s="12"/>
      <c r="B63" s="299"/>
      <c r="C63" s="402" t="s">
        <v>378</v>
      </c>
      <c r="D63" s="403"/>
      <c r="E63" s="400">
        <f>AD63</f>
        <v>0.5</v>
      </c>
      <c r="F63" s="392" t="str">
        <f>IF(Y63=0,"-",AP63)</f>
        <v>-</v>
      </c>
      <c r="G63" s="437" t="s">
        <v>138</v>
      </c>
      <c r="H63" s="438"/>
      <c r="I63" s="439"/>
      <c r="J63" s="440"/>
      <c r="K63" s="440"/>
      <c r="L63" s="440"/>
      <c r="M63" s="440"/>
      <c r="N63" s="440"/>
      <c r="O63" s="440"/>
      <c r="P63" s="440"/>
      <c r="Q63" s="441"/>
      <c r="R63" s="48" t="s">
        <v>256</v>
      </c>
      <c r="S63" s="314"/>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299"/>
      <c r="C64" s="348"/>
      <c r="D64" s="349"/>
      <c r="E64" s="400"/>
      <c r="F64" s="392"/>
      <c r="G64" s="316" t="s">
        <v>386</v>
      </c>
      <c r="H64" s="458"/>
      <c r="I64" s="442"/>
      <c r="J64" s="443"/>
      <c r="K64" s="443"/>
      <c r="L64" s="443"/>
      <c r="M64" s="15" t="s">
        <v>252</v>
      </c>
      <c r="N64" s="443"/>
      <c r="O64" s="443"/>
      <c r="P64" s="443"/>
      <c r="Q64" s="444"/>
      <c r="R64" s="412" t="s">
        <v>257</v>
      </c>
      <c r="S64" s="408"/>
      <c r="V64" s="1">
        <f>IF(AND(I64&lt;&gt;"",N64&lt;&gt;""),1,0)</f>
        <v>0</v>
      </c>
      <c r="W64" s="55"/>
      <c r="AB64" s="69"/>
      <c r="AC64" s="69"/>
      <c r="AE64" s="69"/>
      <c r="AG64" s="69"/>
      <c r="AH64" s="69"/>
    </row>
    <row r="65" spans="1:50" ht="34.950000000000003" customHeight="1" thickBot="1" x14ac:dyDescent="0.25">
      <c r="A65" s="12"/>
      <c r="B65" s="299"/>
      <c r="C65" s="348"/>
      <c r="D65" s="349"/>
      <c r="E65" s="400"/>
      <c r="F65" s="392"/>
      <c r="G65" s="316" t="s">
        <v>387</v>
      </c>
      <c r="H65" s="458"/>
      <c r="I65" s="442"/>
      <c r="J65" s="443"/>
      <c r="K65" s="443"/>
      <c r="L65" s="443"/>
      <c r="M65" s="15" t="s">
        <v>246</v>
      </c>
      <c r="N65" s="443"/>
      <c r="O65" s="443"/>
      <c r="P65" s="443"/>
      <c r="Q65" s="444"/>
      <c r="R65" s="412"/>
      <c r="S65" s="408"/>
      <c r="V65" s="1">
        <f>IF(AND(I65&lt;&gt;"",N65&lt;&gt;""),1,0)</f>
        <v>0</v>
      </c>
      <c r="W65" s="70"/>
      <c r="AB65" s="69"/>
      <c r="AC65" s="69"/>
      <c r="AE65" s="69"/>
      <c r="AG65" s="69"/>
      <c r="AH65" s="69"/>
    </row>
    <row r="66" spans="1:50" ht="34.950000000000003" customHeight="1" thickBot="1" x14ac:dyDescent="0.25">
      <c r="A66" s="12"/>
      <c r="B66" s="299"/>
      <c r="C66" s="404"/>
      <c r="D66" s="405"/>
      <c r="E66" s="400"/>
      <c r="F66" s="392"/>
      <c r="G66" s="435" t="s">
        <v>211</v>
      </c>
      <c r="H66" s="436"/>
      <c r="I66" s="450"/>
      <c r="J66" s="451"/>
      <c r="K66" s="432" t="s">
        <v>247</v>
      </c>
      <c r="L66" s="432"/>
      <c r="M66" s="430" t="s">
        <v>276</v>
      </c>
      <c r="N66" s="431"/>
      <c r="O66" s="431"/>
      <c r="P66" s="199" t="s">
        <v>362</v>
      </c>
      <c r="Q66" s="23" t="s">
        <v>277</v>
      </c>
      <c r="R66" s="413"/>
      <c r="S66" s="315"/>
      <c r="V66" s="1">
        <f>IF(I66="",0,1)</f>
        <v>0</v>
      </c>
      <c r="W66" s="57"/>
      <c r="AB66" s="69"/>
      <c r="AC66" s="69"/>
      <c r="AD66" s="47" t="s">
        <v>164</v>
      </c>
      <c r="AE66" s="47" t="s">
        <v>147</v>
      </c>
      <c r="AG66" s="69"/>
      <c r="AH66" s="69"/>
      <c r="AP66" s="149" t="s">
        <v>167</v>
      </c>
    </row>
    <row r="67" spans="1:50" ht="34.950000000000003" customHeight="1" thickBot="1" x14ac:dyDescent="0.25">
      <c r="A67" s="12"/>
      <c r="B67" s="299"/>
      <c r="C67" s="324" t="s">
        <v>379</v>
      </c>
      <c r="D67" s="318"/>
      <c r="E67" s="398">
        <f>AD67</f>
        <v>0.75</v>
      </c>
      <c r="F67" s="399" t="str">
        <f>IF(Y67=0,"-",AP67)</f>
        <v>-</v>
      </c>
      <c r="G67" s="316" t="s">
        <v>259</v>
      </c>
      <c r="H67" s="458"/>
      <c r="I67" s="16" t="s">
        <v>248</v>
      </c>
      <c r="J67" s="200"/>
      <c r="K67" s="17" t="s">
        <v>249</v>
      </c>
      <c r="L67" s="409"/>
      <c r="M67" s="410"/>
      <c r="N67" s="17" t="s">
        <v>253</v>
      </c>
      <c r="O67" s="411"/>
      <c r="P67" s="410"/>
      <c r="Q67" s="71" t="s">
        <v>251</v>
      </c>
      <c r="R67" s="312" t="s">
        <v>398</v>
      </c>
      <c r="S67" s="314"/>
      <c r="V67" s="1">
        <f>IF(AND(J67&lt;&gt;"",L67&lt;&gt;"",O67&lt;&gt;""),1,0)</f>
        <v>0</v>
      </c>
      <c r="W67" s="1">
        <f>IF(S67="",0,1)</f>
        <v>0</v>
      </c>
      <c r="X67" s="49"/>
      <c r="Y67" s="19">
        <f>SUM(V67:W69)</f>
        <v>0</v>
      </c>
      <c r="Z67" s="20" t="s">
        <v>239</v>
      </c>
      <c r="AB67" s="270" t="s">
        <v>303</v>
      </c>
      <c r="AC67" s="47">
        <f>IF(S69=AB67,1,0)</f>
        <v>0</v>
      </c>
      <c r="AD67" s="31">
        <v>0.75</v>
      </c>
      <c r="AE67" s="22">
        <f>IF(Y67=5,AD67*V$62*AC67,0)</f>
        <v>0</v>
      </c>
      <c r="AG67" s="69"/>
      <c r="AH67" s="69"/>
      <c r="AP67" s="152">
        <f>IF(Y67=5,MAX(AE67:AE68),0)</f>
        <v>0</v>
      </c>
    </row>
    <row r="68" spans="1:50" ht="34.950000000000003" customHeight="1" thickBot="1" x14ac:dyDescent="0.25">
      <c r="A68" s="12"/>
      <c r="B68" s="299"/>
      <c r="C68" s="394"/>
      <c r="D68" s="326"/>
      <c r="E68" s="398"/>
      <c r="F68" s="399"/>
      <c r="G68" s="295" t="s">
        <v>313</v>
      </c>
      <c r="H68" s="419"/>
      <c r="I68" s="292"/>
      <c r="J68" s="293"/>
      <c r="K68" s="293"/>
      <c r="L68" s="293"/>
      <c r="M68" s="33" t="s">
        <v>254</v>
      </c>
      <c r="N68" s="293"/>
      <c r="O68" s="293"/>
      <c r="P68" s="293"/>
      <c r="Q68" s="294"/>
      <c r="R68" s="313"/>
      <c r="S68" s="315"/>
      <c r="V68" s="1">
        <f>IF(AND(I68&lt;&gt;"",N68&lt;&gt;""),1,0)</f>
        <v>0</v>
      </c>
      <c r="W68" s="1">
        <f>IF(S69="-",0,1)</f>
        <v>0</v>
      </c>
      <c r="AB68" s="270" t="s">
        <v>302</v>
      </c>
      <c r="AC68" s="47">
        <f>IF(S69=AB68,1,0)</f>
        <v>0</v>
      </c>
      <c r="AD68" s="31">
        <v>0.5</v>
      </c>
      <c r="AE68" s="22">
        <f>IF(Y67=5,AD68*V$62*AC68,0)</f>
        <v>0</v>
      </c>
      <c r="AG68" s="69"/>
      <c r="AH68" s="69"/>
    </row>
    <row r="69" spans="1:50" ht="34.950000000000003" customHeight="1" thickBot="1" x14ac:dyDescent="0.25">
      <c r="A69" s="12"/>
      <c r="B69" s="300"/>
      <c r="C69" s="401"/>
      <c r="D69" s="328"/>
      <c r="E69" s="398"/>
      <c r="F69" s="399"/>
      <c r="G69" s="316" t="s">
        <v>307</v>
      </c>
      <c r="H69" s="458"/>
      <c r="I69" s="292"/>
      <c r="J69" s="293"/>
      <c r="K69" s="293"/>
      <c r="L69" s="293"/>
      <c r="M69" s="33" t="s">
        <v>255</v>
      </c>
      <c r="N69" s="293"/>
      <c r="O69" s="293"/>
      <c r="P69" s="293"/>
      <c r="Q69" s="294"/>
      <c r="R69" s="269" t="s">
        <v>399</v>
      </c>
      <c r="S69" s="268" t="s">
        <v>168</v>
      </c>
      <c r="V69" s="1">
        <f>IF(AND(I69&lt;&gt;"",N69&lt;&gt;""),1,0)</f>
        <v>0</v>
      </c>
      <c r="W69" s="70"/>
      <c r="AB69" s="69"/>
      <c r="AC69" s="69"/>
      <c r="AE69" s="69"/>
      <c r="AG69" s="69"/>
      <c r="AH69" s="69"/>
    </row>
    <row r="70" spans="1:50" ht="19.95" customHeight="1" x14ac:dyDescent="0.2">
      <c r="A70" s="12"/>
      <c r="B70" s="291" t="s">
        <v>324</v>
      </c>
      <c r="C70" s="291"/>
      <c r="D70" s="291"/>
      <c r="E70" s="291"/>
      <c r="F70" s="291"/>
      <c r="G70" s="291"/>
      <c r="H70" s="291"/>
      <c r="I70" s="291"/>
      <c r="J70" s="291"/>
      <c r="K70" s="291"/>
      <c r="L70" s="291"/>
      <c r="M70" s="291"/>
      <c r="N70" s="291"/>
      <c r="O70" s="291"/>
      <c r="P70" s="291"/>
      <c r="Q70" s="291"/>
      <c r="R70" s="291"/>
      <c r="S70" s="291"/>
    </row>
    <row r="71" spans="1:50" s="237" customFormat="1" ht="16.95" customHeight="1" x14ac:dyDescent="0.2">
      <c r="A71" s="236"/>
      <c r="B71" s="297" t="s">
        <v>325</v>
      </c>
      <c r="C71" s="297"/>
      <c r="D71" s="297"/>
      <c r="E71" s="297"/>
      <c r="F71" s="297"/>
      <c r="G71" s="297"/>
      <c r="H71" s="297"/>
      <c r="I71" s="297"/>
      <c r="J71" s="297"/>
      <c r="K71" s="297"/>
      <c r="L71" s="297"/>
      <c r="M71" s="297"/>
      <c r="N71" s="297"/>
      <c r="O71" s="297"/>
      <c r="P71" s="297"/>
      <c r="Q71" s="297"/>
      <c r="R71" s="297"/>
      <c r="S71" s="297"/>
      <c r="AG71" s="236"/>
    </row>
    <row r="72" spans="1:50" s="237" customFormat="1" ht="16.95" customHeight="1" x14ac:dyDescent="0.2">
      <c r="A72" s="236"/>
      <c r="B72" s="297" t="s">
        <v>326</v>
      </c>
      <c r="C72" s="297"/>
      <c r="D72" s="297"/>
      <c r="E72" s="297"/>
      <c r="F72" s="297"/>
      <c r="G72" s="297"/>
      <c r="H72" s="297"/>
      <c r="I72" s="297"/>
      <c r="J72" s="297"/>
      <c r="K72" s="297"/>
      <c r="L72" s="297"/>
      <c r="M72" s="297"/>
      <c r="N72" s="297"/>
      <c r="O72" s="297"/>
      <c r="P72" s="297"/>
      <c r="Q72" s="297"/>
      <c r="R72" s="297"/>
      <c r="S72" s="297"/>
      <c r="AG72" s="236"/>
      <c r="AH72" s="236"/>
      <c r="AI72" s="236"/>
      <c r="AJ72" s="236"/>
      <c r="AK72" s="236"/>
    </row>
    <row r="73" spans="1:50" s="237" customFormat="1" ht="16.95" customHeight="1" x14ac:dyDescent="0.2">
      <c r="A73" s="236"/>
      <c r="B73" s="297" t="s">
        <v>389</v>
      </c>
      <c r="C73" s="297"/>
      <c r="D73" s="297"/>
      <c r="E73" s="297"/>
      <c r="F73" s="297"/>
      <c r="G73" s="297"/>
      <c r="H73" s="297"/>
      <c r="I73" s="297"/>
      <c r="J73" s="297"/>
      <c r="K73" s="297"/>
      <c r="L73" s="297"/>
      <c r="M73" s="297"/>
      <c r="N73" s="297"/>
      <c r="O73" s="297"/>
      <c r="P73" s="297"/>
      <c r="Q73" s="297"/>
      <c r="R73" s="297"/>
      <c r="S73" s="297"/>
      <c r="AG73" s="236"/>
      <c r="AH73" s="236"/>
      <c r="AI73" s="236"/>
      <c r="AJ73" s="236"/>
      <c r="AK73" s="236"/>
    </row>
    <row r="74" spans="1:50" s="237" customFormat="1" ht="24" customHeight="1" x14ac:dyDescent="0.2">
      <c r="A74" s="236"/>
      <c r="B74" s="297" t="s">
        <v>361</v>
      </c>
      <c r="C74" s="297"/>
      <c r="D74" s="297"/>
      <c r="E74" s="297"/>
      <c r="F74" s="297"/>
      <c r="G74" s="297"/>
      <c r="H74" s="297"/>
      <c r="I74" s="297"/>
      <c r="J74" s="297"/>
      <c r="K74" s="297"/>
      <c r="L74" s="297"/>
      <c r="M74" s="297"/>
      <c r="N74" s="297"/>
      <c r="O74" s="297"/>
      <c r="P74" s="297"/>
      <c r="Q74" s="297"/>
      <c r="R74" s="297"/>
      <c r="S74" s="297"/>
      <c r="AC74" s="238"/>
      <c r="AE74" s="239"/>
      <c r="AF74" s="240"/>
      <c r="AG74" s="241"/>
      <c r="AH74" s="236"/>
      <c r="AM74" s="242"/>
    </row>
    <row r="75" spans="1:50" ht="14.25" customHeight="1" x14ac:dyDescent="0.2">
      <c r="A75" s="12"/>
      <c r="B75" s="72" t="s">
        <v>245</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310" t="s">
        <v>139</v>
      </c>
      <c r="C76" s="310"/>
      <c r="D76" s="310"/>
      <c r="E76" s="311" t="str">
        <f>E49</f>
        <v>第25-21025-0002号 ばんだい荘あおばアリーナ天井改修工事（建築）</v>
      </c>
      <c r="F76" s="311"/>
      <c r="G76" s="311"/>
      <c r="H76" s="311"/>
      <c r="I76" s="311"/>
      <c r="J76" s="311"/>
      <c r="K76" s="311"/>
      <c r="L76" s="311"/>
      <c r="M76" s="311"/>
      <c r="N76" s="311"/>
      <c r="O76" s="311"/>
      <c r="P76" s="311"/>
      <c r="Q76" s="311"/>
      <c r="R76" s="311"/>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330</v>
      </c>
      <c r="Z77" s="14" t="s">
        <v>274</v>
      </c>
      <c r="AA77" s="1"/>
      <c r="AB77" s="14" t="s">
        <v>275</v>
      </c>
      <c r="AE77" s="73"/>
      <c r="AF77" s="74"/>
      <c r="AG77" s="73"/>
      <c r="AJ77" s="1">
        <v>42</v>
      </c>
      <c r="AK77" s="1" t="s">
        <v>144</v>
      </c>
      <c r="AL77" s="1" t="s">
        <v>170</v>
      </c>
      <c r="AM77" s="21">
        <v>5</v>
      </c>
      <c r="AP77" s="149" t="s">
        <v>167</v>
      </c>
    </row>
    <row r="78" spans="1:50" ht="22.5" customHeight="1" thickBot="1" x14ac:dyDescent="0.25">
      <c r="A78" s="12"/>
      <c r="B78" s="309" t="s">
        <v>343</v>
      </c>
      <c r="C78" s="309"/>
      <c r="D78" s="309"/>
      <c r="E78" s="43" t="s">
        <v>169</v>
      </c>
      <c r="F78" s="44" t="s">
        <v>1</v>
      </c>
      <c r="G78" s="414" t="s">
        <v>323</v>
      </c>
      <c r="H78" s="415"/>
      <c r="I78" s="415"/>
      <c r="J78" s="415"/>
      <c r="K78" s="415"/>
      <c r="L78" s="415"/>
      <c r="M78" s="415"/>
      <c r="N78" s="415"/>
      <c r="O78" s="415"/>
      <c r="P78" s="415"/>
      <c r="Q78" s="415"/>
      <c r="R78" s="415"/>
      <c r="S78" s="416"/>
      <c r="V78" s="1">
        <f>IF(OR(R79=リスト!O4),1,0)</f>
        <v>0</v>
      </c>
      <c r="W78" s="50">
        <f>V77</f>
        <v>0</v>
      </c>
      <c r="X78" s="19">
        <f>SUM(V78:W78)</f>
        <v>0</v>
      </c>
      <c r="Y78" s="20" t="s">
        <v>273</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298" t="s">
        <v>190</v>
      </c>
      <c r="C79" s="295" t="s">
        <v>260</v>
      </c>
      <c r="D79" s="296"/>
      <c r="E79" s="34">
        <f>Z78</f>
        <v>0.5</v>
      </c>
      <c r="F79" s="66" t="str">
        <f>AQ81</f>
        <v>-</v>
      </c>
      <c r="G79" s="445" t="s">
        <v>393</v>
      </c>
      <c r="H79" s="463"/>
      <c r="I79" s="301" t="s">
        <v>338</v>
      </c>
      <c r="J79" s="302"/>
      <c r="K79" s="459"/>
      <c r="L79" s="460"/>
      <c r="M79" s="460"/>
      <c r="N79" s="460"/>
      <c r="O79" s="460"/>
      <c r="P79" s="460"/>
      <c r="Q79" s="461"/>
      <c r="R79" s="303" t="s">
        <v>168</v>
      </c>
      <c r="S79" s="305"/>
      <c r="V79" s="1">
        <f>IF(OR(R79=リスト!O5),1,0)</f>
        <v>0</v>
      </c>
      <c r="W79" s="50">
        <f>V77</f>
        <v>0</v>
      </c>
      <c r="X79" s="19">
        <f>SUM(V79:W79)</f>
        <v>0</v>
      </c>
      <c r="Y79" s="20" t="s">
        <v>273</v>
      </c>
      <c r="Z79" s="1">
        <v>0.25</v>
      </c>
      <c r="AA79" s="1">
        <f>Z79*V79</f>
        <v>0</v>
      </c>
      <c r="AB79" s="186" t="str">
        <f>IF(V77=1,MAX(AA78:AA79),"-")</f>
        <v>-</v>
      </c>
      <c r="AC79" s="79" t="s">
        <v>207</v>
      </c>
      <c r="AE79" s="80">
        <v>0.5</v>
      </c>
      <c r="AF79" s="81">
        <f>W80*AE79</f>
        <v>0</v>
      </c>
      <c r="AG79" s="82" t="str">
        <f>IF('1.基本データ(このシートは削除しないこと！)'!H16=10,AF79,"-")</f>
        <v>-</v>
      </c>
      <c r="AJ79" s="1">
        <v>40</v>
      </c>
      <c r="AK79" s="1" t="s">
        <v>144</v>
      </c>
      <c r="AL79" s="1" t="s">
        <v>3</v>
      </c>
      <c r="AM79" s="21">
        <v>3</v>
      </c>
      <c r="AP79" s="153"/>
      <c r="AX79" s="12"/>
    </row>
    <row r="80" spans="1:50" ht="34.950000000000003" customHeight="1" thickBot="1" x14ac:dyDescent="0.25">
      <c r="A80" s="12"/>
      <c r="B80" s="299"/>
      <c r="C80" s="307" t="s">
        <v>327</v>
      </c>
      <c r="D80" s="308"/>
      <c r="E80" s="110">
        <f>AE78</f>
        <v>1</v>
      </c>
      <c r="F80" s="161" t="str">
        <f>AQ82</f>
        <v>-</v>
      </c>
      <c r="G80" s="433" t="s">
        <v>383</v>
      </c>
      <c r="H80" s="462"/>
      <c r="I80" s="306" t="s">
        <v>339</v>
      </c>
      <c r="J80" s="306"/>
      <c r="K80" s="288" t="s">
        <v>168</v>
      </c>
      <c r="L80" s="289"/>
      <c r="M80" s="289"/>
      <c r="N80" s="289"/>
      <c r="O80" s="289"/>
      <c r="P80" s="289"/>
      <c r="Q80" s="289"/>
      <c r="R80" s="289"/>
      <c r="S80" s="290"/>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299"/>
      <c r="C81" s="318" t="s">
        <v>272</v>
      </c>
      <c r="D81" s="325"/>
      <c r="E81" s="330">
        <f>AM77</f>
        <v>5</v>
      </c>
      <c r="F81" s="333" t="str">
        <f>IF(OR(K82="-",K83="-"),"-",AQ88)</f>
        <v>-</v>
      </c>
      <c r="G81" s="347" t="s">
        <v>213</v>
      </c>
      <c r="H81" s="348"/>
      <c r="I81" s="348"/>
      <c r="J81" s="348"/>
      <c r="K81" s="348"/>
      <c r="L81" s="348"/>
      <c r="M81" s="348"/>
      <c r="N81" s="348"/>
      <c r="O81" s="348"/>
      <c r="P81" s="348"/>
      <c r="Q81" s="349"/>
      <c r="R81" s="465" t="s">
        <v>394</v>
      </c>
      <c r="S81" s="466"/>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299"/>
      <c r="C82" s="326"/>
      <c r="D82" s="327"/>
      <c r="E82" s="331"/>
      <c r="F82" s="334"/>
      <c r="G82" s="351" t="s">
        <v>261</v>
      </c>
      <c r="H82" s="295"/>
      <c r="I82" s="306" t="s">
        <v>339</v>
      </c>
      <c r="J82" s="306"/>
      <c r="K82" s="338" t="s">
        <v>168</v>
      </c>
      <c r="L82" s="339"/>
      <c r="M82" s="339"/>
      <c r="N82" s="339"/>
      <c r="O82" s="339"/>
      <c r="P82" s="339"/>
      <c r="Q82" s="340"/>
      <c r="R82" s="465"/>
      <c r="S82" s="466"/>
      <c r="T82" s="87"/>
      <c r="U82" s="87"/>
      <c r="V82" s="7" t="s">
        <v>209</v>
      </c>
      <c r="W82" s="88" t="str">
        <f>VLOOKUP(K82,リスト2!$C$3:$E$65,2,FALSE)</f>
        <v>-</v>
      </c>
      <c r="X82" s="89"/>
      <c r="Z82" s="90" t="s">
        <v>149</v>
      </c>
      <c r="AA82" s="91" t="s">
        <v>308</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299"/>
      <c r="C83" s="326"/>
      <c r="D83" s="327"/>
      <c r="E83" s="331"/>
      <c r="F83" s="334"/>
      <c r="G83" s="464" t="s">
        <v>262</v>
      </c>
      <c r="H83" s="437"/>
      <c r="I83" s="306" t="s">
        <v>339</v>
      </c>
      <c r="J83" s="306"/>
      <c r="K83" s="303" t="s">
        <v>168</v>
      </c>
      <c r="L83" s="304"/>
      <c r="M83" s="304"/>
      <c r="N83" s="304"/>
      <c r="O83" s="304"/>
      <c r="P83" s="304"/>
      <c r="Q83" s="305"/>
      <c r="R83" s="465"/>
      <c r="S83" s="466"/>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299"/>
      <c r="C84" s="326"/>
      <c r="D84" s="327"/>
      <c r="E84" s="331"/>
      <c r="F84" s="334"/>
      <c r="G84" s="347" t="s">
        <v>225</v>
      </c>
      <c r="H84" s="348"/>
      <c r="I84" s="348"/>
      <c r="J84" s="348"/>
      <c r="K84" s="348"/>
      <c r="L84" s="348"/>
      <c r="M84" s="348"/>
      <c r="N84" s="348"/>
      <c r="O84" s="348"/>
      <c r="P84" s="348"/>
      <c r="Q84" s="349"/>
      <c r="R84" s="465"/>
      <c r="S84" s="466"/>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299"/>
      <c r="C85" s="326"/>
      <c r="D85" s="327"/>
      <c r="E85" s="331"/>
      <c r="F85" s="334"/>
      <c r="G85" s="351" t="s">
        <v>263</v>
      </c>
      <c r="H85" s="295"/>
      <c r="I85" s="306" t="s">
        <v>339</v>
      </c>
      <c r="J85" s="306"/>
      <c r="K85" s="338" t="s">
        <v>168</v>
      </c>
      <c r="L85" s="339"/>
      <c r="M85" s="339"/>
      <c r="N85" s="339"/>
      <c r="O85" s="339"/>
      <c r="P85" s="339"/>
      <c r="Q85" s="340"/>
      <c r="R85" s="465"/>
      <c r="S85" s="466"/>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299"/>
      <c r="C86" s="326"/>
      <c r="D86" s="327"/>
      <c r="E86" s="331"/>
      <c r="F86" s="334"/>
      <c r="G86" s="350" t="s">
        <v>264</v>
      </c>
      <c r="H86" s="316"/>
      <c r="I86" s="306" t="s">
        <v>339</v>
      </c>
      <c r="J86" s="306"/>
      <c r="K86" s="303" t="s">
        <v>168</v>
      </c>
      <c r="L86" s="304"/>
      <c r="M86" s="304"/>
      <c r="N86" s="304"/>
      <c r="O86" s="304"/>
      <c r="P86" s="304"/>
      <c r="Q86" s="305"/>
      <c r="R86" s="465"/>
      <c r="S86" s="466"/>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279</v>
      </c>
      <c r="AO86" s="21">
        <f>IF(AND('1.基本データ(このシートは削除しないこと！)'!H17=2,AC82&gt;=30),VLOOKUP($AC$82,$AJ$76:$AM$82,4,0),0)</f>
        <v>0</v>
      </c>
      <c r="AP86" s="21">
        <f>IF(AND('1.基本データ(このシートは削除しないこと！)'!H17=2,AG82&gt;=30),VLOOKUP($AG$82,$AJ$76:$AM$82,4,0),0)</f>
        <v>0</v>
      </c>
      <c r="AS86" s="93">
        <f>MIN(AS82:AS85)</f>
        <v>10</v>
      </c>
      <c r="AT86" s="93">
        <f>MIN(AT82:AT85)</f>
        <v>10</v>
      </c>
      <c r="AU86" s="12"/>
      <c r="AV86" s="94"/>
    </row>
    <row r="87" spans="1:60" ht="19.95" customHeight="1" thickBot="1" x14ac:dyDescent="0.25">
      <c r="A87" s="12"/>
      <c r="B87" s="299"/>
      <c r="C87" s="326"/>
      <c r="D87" s="327"/>
      <c r="E87" s="331"/>
      <c r="F87" s="334"/>
      <c r="G87" s="355" t="s">
        <v>265</v>
      </c>
      <c r="H87" s="356"/>
      <c r="I87" s="356"/>
      <c r="J87" s="235"/>
      <c r="K87" s="341" t="str">
        <f>IF(K82="-","-",W88)</f>
        <v>-</v>
      </c>
      <c r="L87" s="342"/>
      <c r="M87" s="342"/>
      <c r="N87" s="342"/>
      <c r="O87" s="342"/>
      <c r="P87" s="342"/>
      <c r="Q87" s="343"/>
      <c r="R87" s="465"/>
      <c r="S87" s="466"/>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280</v>
      </c>
      <c r="AO87" s="21">
        <f>IF(AND('1.基本データ(このシートは削除しないこと！)'!H17=3,AC82&gt;=20),VLOOKUP($AC$82,$AJ$76:$AM$85,4,0),0)</f>
        <v>0</v>
      </c>
      <c r="AP87" s="21">
        <f>IF(AND('1.基本データ(このシートは削除しないこと！)'!H17=3,AG82&gt;=20),VLOOKUP($AG82,$AJ$76:$AM$85,4,0),0)</f>
        <v>0</v>
      </c>
      <c r="AQ87" s="154" t="s">
        <v>167</v>
      </c>
      <c r="AT87" s="11">
        <f>MIN(AS86:AT86)</f>
        <v>10</v>
      </c>
      <c r="AU87" s="12" t="s">
        <v>194</v>
      </c>
    </row>
    <row r="88" spans="1:60" ht="19.95" customHeight="1" thickBot="1" x14ac:dyDescent="0.25">
      <c r="A88" s="12"/>
      <c r="B88" s="300"/>
      <c r="C88" s="328"/>
      <c r="D88" s="329"/>
      <c r="E88" s="332"/>
      <c r="F88" s="335"/>
      <c r="G88" s="357" t="s">
        <v>340</v>
      </c>
      <c r="H88" s="358"/>
      <c r="I88" s="358"/>
      <c r="J88" s="359"/>
      <c r="K88" s="344" t="str">
        <f>IF(K83="-","-",X88)</f>
        <v>-</v>
      </c>
      <c r="L88" s="345"/>
      <c r="M88" s="345"/>
      <c r="N88" s="345"/>
      <c r="O88" s="345"/>
      <c r="P88" s="345"/>
      <c r="Q88" s="346"/>
      <c r="R88" s="467"/>
      <c r="S88" s="468"/>
      <c r="T88" s="95"/>
      <c r="U88" s="95"/>
      <c r="V88" s="7" t="s">
        <v>226</v>
      </c>
      <c r="W88" s="99" t="str">
        <f>IF(AH82&gt;=0,W84,W87)</f>
        <v>-</v>
      </c>
      <c r="X88" s="99" t="str">
        <f>IF(AH82&gt;=0,X84,X87)</f>
        <v>支店等</v>
      </c>
      <c r="Y88" s="100"/>
      <c r="Z88" s="98"/>
      <c r="AH88" s="83"/>
      <c r="AJ88" s="1">
        <v>10</v>
      </c>
      <c r="AK88" s="1" t="s">
        <v>4</v>
      </c>
      <c r="AL88" s="1" t="s">
        <v>3</v>
      </c>
      <c r="AM88" s="21">
        <v>0.5</v>
      </c>
      <c r="AN88" s="171" t="s">
        <v>281</v>
      </c>
      <c r="AO88" s="21">
        <f>IF(AND('1.基本データ(このシートは削除しないこと！)'!H17=4,AC82&gt;=10),VLOOKUP($AC$82,$AJ$76:$AM$88,4,0),0)</f>
        <v>0</v>
      </c>
      <c r="AP88" s="21">
        <f>IF(AND('1.基本データ(このシートは削除しないこと！)'!H17=4,AG82&gt;=10),VLOOKUP($AG$82,$AJ$76:$AM$88,4,0),0)</f>
        <v>0</v>
      </c>
      <c r="AQ88" s="172">
        <f>MAX(AO86:AP88)</f>
        <v>0</v>
      </c>
      <c r="AT88" s="19">
        <f>IF(AT87&lt;='1.基本データ(このシートは削除しないこと！)'!H17,1,0)</f>
        <v>0</v>
      </c>
      <c r="AU88" t="s">
        <v>217</v>
      </c>
    </row>
    <row r="89" spans="1:60" ht="24" customHeight="1" thickBot="1" x14ac:dyDescent="0.25">
      <c r="A89" s="12"/>
      <c r="B89" s="336" t="str">
        <f>IF(AND(K82&lt;&gt;"-",AS90=0),"※入札参加者の所在地が地域要件ごとの評価対象エリア外のため、「ボランティア活動」と「選択項目」は評価対象外です。","")</f>
        <v/>
      </c>
      <c r="C89" s="336"/>
      <c r="D89" s="336"/>
      <c r="E89" s="336"/>
      <c r="F89" s="336"/>
      <c r="G89" s="336"/>
      <c r="H89" s="336"/>
      <c r="I89" s="337"/>
      <c r="J89" s="337"/>
      <c r="K89" s="337"/>
      <c r="L89" s="337"/>
      <c r="M89" s="337"/>
      <c r="N89" s="337"/>
      <c r="O89" s="337"/>
      <c r="P89" s="337"/>
      <c r="Q89" s="337"/>
      <c r="R89" s="337"/>
      <c r="S89" s="336"/>
      <c r="T89" s="95"/>
      <c r="U89" s="95"/>
      <c r="W89" s="75"/>
      <c r="X89" s="101"/>
      <c r="Y89" s="101"/>
      <c r="Z89" s="102"/>
      <c r="AG89" s="83"/>
      <c r="AR89" s="455" t="s">
        <v>334</v>
      </c>
      <c r="AS89" t="s">
        <v>218</v>
      </c>
    </row>
    <row r="90" spans="1:60" ht="32.1" customHeight="1" thickBot="1" x14ac:dyDescent="0.25">
      <c r="A90" s="12"/>
      <c r="B90" s="309" t="s">
        <v>344</v>
      </c>
      <c r="C90" s="309"/>
      <c r="D90" s="309"/>
      <c r="E90" s="43" t="s">
        <v>169</v>
      </c>
      <c r="F90" s="44" t="s">
        <v>1</v>
      </c>
      <c r="G90" s="485" t="s">
        <v>341</v>
      </c>
      <c r="H90" s="486"/>
      <c r="I90" s="486"/>
      <c r="J90" s="486"/>
      <c r="K90" s="486"/>
      <c r="L90" s="486"/>
      <c r="M90" s="486"/>
      <c r="N90" s="486"/>
      <c r="O90" s="486"/>
      <c r="P90" s="486"/>
      <c r="Q90" s="487"/>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283</v>
      </c>
      <c r="AG90" s="109" t="s">
        <v>162</v>
      </c>
      <c r="AH90" s="109" t="s">
        <v>163</v>
      </c>
      <c r="AI90" s="109" t="s">
        <v>204</v>
      </c>
      <c r="AK90" s="109" t="s">
        <v>165</v>
      </c>
      <c r="AL90" s="109" t="s">
        <v>166</v>
      </c>
      <c r="AM90" s="109" t="s">
        <v>204</v>
      </c>
      <c r="AN90" s="174" t="s">
        <v>279</v>
      </c>
      <c r="AO90" s="174" t="s">
        <v>282</v>
      </c>
      <c r="AP90" s="175" t="s">
        <v>281</v>
      </c>
      <c r="AQ90" s="154" t="s">
        <v>167</v>
      </c>
      <c r="AR90" s="455"/>
      <c r="AS90" s="19">
        <f>IF(AS86&lt;'1.基本データ(このシートは削除しないこと！)'!H17+1,1,0)</f>
        <v>0</v>
      </c>
      <c r="AT90" t="s">
        <v>195</v>
      </c>
    </row>
    <row r="91" spans="1:60" ht="34.950000000000003" customHeight="1" thickBot="1" x14ac:dyDescent="0.25">
      <c r="A91" s="12"/>
      <c r="B91" s="319" t="s">
        <v>190</v>
      </c>
      <c r="C91" s="316" t="s">
        <v>269</v>
      </c>
      <c r="D91" s="308"/>
      <c r="E91" s="110">
        <f>AG91</f>
        <v>0.5</v>
      </c>
      <c r="F91" s="161" t="str">
        <f>IF(OR($AS$90=0,V91=0),"-",AQ91)</f>
        <v>-</v>
      </c>
      <c r="G91" s="316" t="s">
        <v>355</v>
      </c>
      <c r="H91" s="307"/>
      <c r="I91" s="307"/>
      <c r="J91" s="307"/>
      <c r="K91" s="307"/>
      <c r="L91" s="307"/>
      <c r="M91" s="307"/>
      <c r="N91" s="307"/>
      <c r="O91" s="307"/>
      <c r="P91" s="307"/>
      <c r="Q91" s="307"/>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f>IF('1.基本データ(このシートは削除しないこと！)'!$H$17=2,MAX(AK91:AL91),0)</f>
        <v>0</v>
      </c>
      <c r="AO91" s="31">
        <f>IF('1.基本データ(このシートは削除しないこと！)'!$H$17=3,MAX(AK91:AM91),0)</f>
        <v>0</v>
      </c>
      <c r="AP91" s="177">
        <f>IF(AND('1.基本データ(このシートは削除しないこと！)'!$H$17=4,AF91="県内"),V91*AI91,0)</f>
        <v>0</v>
      </c>
      <c r="AQ91" s="155" t="str">
        <f>IF(V91=1,MAX(AN91:AP91),"-")</f>
        <v>-</v>
      </c>
      <c r="AR91" s="191"/>
    </row>
    <row r="92" spans="1:60" ht="34.950000000000003" customHeight="1" thickBot="1" x14ac:dyDescent="0.25">
      <c r="A92" s="12"/>
      <c r="B92" s="319"/>
      <c r="C92" s="317" t="s">
        <v>268</v>
      </c>
      <c r="D92" s="318"/>
      <c r="E92" s="164">
        <f>AG92</f>
        <v>0.5</v>
      </c>
      <c r="F92" s="185" t="str">
        <f>IF(OR(V92=0),"-",AQ92)</f>
        <v>-</v>
      </c>
      <c r="G92" s="317" t="s">
        <v>356</v>
      </c>
      <c r="H92" s="324"/>
      <c r="I92" s="324"/>
      <c r="J92" s="324"/>
      <c r="K92" s="324"/>
      <c r="L92" s="324"/>
      <c r="M92" s="324"/>
      <c r="N92" s="324"/>
      <c r="O92" s="324"/>
      <c r="P92" s="324"/>
      <c r="Q92" s="324"/>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f>IF('1.基本データ(このシートは削除しないこと！)'!$H$17=2,MAX(AK92:AM92),0)</f>
        <v>0</v>
      </c>
      <c r="AO92" s="31">
        <f>IF('1.基本データ(このシートは削除しないこと！)'!$H$17=3,MAX(AK92:AM92),0)</f>
        <v>0</v>
      </c>
      <c r="AP92" s="177">
        <f>IF(AND('1.基本データ(このシートは削除しないこと！)'!$H$17=4,AF92="県内"),V92*AG92,0)</f>
        <v>0</v>
      </c>
      <c r="AQ92" s="155" t="str">
        <f>IF(V92=1,MAX(AN92:AP92),"-")</f>
        <v>-</v>
      </c>
      <c r="AR92" s="192"/>
    </row>
    <row r="93" spans="1:60" ht="72" customHeight="1" thickBot="1" x14ac:dyDescent="0.25">
      <c r="A93" s="12"/>
      <c r="B93" s="319"/>
      <c r="C93" s="362" t="s">
        <v>232</v>
      </c>
      <c r="D93" s="372" t="s">
        <v>395</v>
      </c>
      <c r="E93" s="378">
        <v>1.75</v>
      </c>
      <c r="F93" s="375" t="str">
        <f>IF(OR($AS$90=0,AQ93=0,SUM(V93:V95)=0),"-",AS94)</f>
        <v>-</v>
      </c>
      <c r="G93" s="387" t="s">
        <v>396</v>
      </c>
      <c r="H93" s="385" t="s">
        <v>349</v>
      </c>
      <c r="I93" s="385"/>
      <c r="J93" s="385"/>
      <c r="K93" s="385"/>
      <c r="L93" s="385"/>
      <c r="M93" s="385"/>
      <c r="N93" s="385"/>
      <c r="O93" s="385"/>
      <c r="P93" s="385"/>
      <c r="Q93" s="386"/>
      <c r="R93" s="189" t="s">
        <v>168</v>
      </c>
      <c r="S93" s="352" t="s">
        <v>168</v>
      </c>
      <c r="T93" s="117"/>
      <c r="U93" s="117"/>
      <c r="V93" s="245">
        <f>IF(R93="有",1,0)</f>
        <v>0</v>
      </c>
      <c r="W93" s="360">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f>IF('1.基本データ(このシートは削除しないこと！)'!$H$17=2,MAX(AK93:AL93),0)</f>
        <v>0</v>
      </c>
      <c r="AO93" s="178">
        <f>IF('1.基本データ(このシートは削除しないこと！)'!$H$17=3,MAX(AK93:AM93),0)</f>
        <v>0</v>
      </c>
      <c r="AP93" s="179">
        <f>IF(AND('1.基本データ(このシートは削除しないこと！)'!$H$17=4,AF93="県内"),V93*AI93,0)</f>
        <v>0</v>
      </c>
      <c r="AQ93" s="471">
        <f>IF(W93&lt;=2,MAX(AN93:AP95),"-")</f>
        <v>0</v>
      </c>
      <c r="AR93" s="456">
        <f>AQ93+0.25</f>
        <v>0.25</v>
      </c>
    </row>
    <row r="94" spans="1:60" ht="35.4" customHeight="1" thickBot="1" x14ac:dyDescent="0.25">
      <c r="A94" s="12"/>
      <c r="B94" s="319"/>
      <c r="C94" s="363"/>
      <c r="D94" s="373"/>
      <c r="E94" s="370"/>
      <c r="F94" s="376"/>
      <c r="G94" s="388"/>
      <c r="H94" s="351" t="s">
        <v>350</v>
      </c>
      <c r="I94" s="351"/>
      <c r="J94" s="351"/>
      <c r="K94" s="351"/>
      <c r="L94" s="351"/>
      <c r="M94" s="351"/>
      <c r="N94" s="351"/>
      <c r="O94" s="351"/>
      <c r="P94" s="351"/>
      <c r="Q94" s="295"/>
      <c r="R94" s="189" t="s">
        <v>168</v>
      </c>
      <c r="S94" s="353"/>
      <c r="T94" s="117"/>
      <c r="U94" s="117"/>
      <c r="V94" s="218">
        <f t="shared" si="4"/>
        <v>0</v>
      </c>
      <c r="W94" s="367"/>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f>IF('1.基本データ(このシートは削除しないこと！)'!$H$17=2,MAX(AK94:AL94),0)</f>
        <v>0</v>
      </c>
      <c r="AO94" s="180">
        <f>IF('1.基本データ(このシートは削除しないこと！)'!$H$17=3,MAX(AK94:AM94),0)</f>
        <v>0</v>
      </c>
      <c r="AP94" s="181">
        <f>IF(AND('1.基本データ(このシートは削除しないこと！)'!$H$17=4,AF94="県内"),V94*AI94,0)</f>
        <v>0</v>
      </c>
      <c r="AQ94" s="472"/>
      <c r="AR94" s="456"/>
      <c r="AS94" s="196" t="str">
        <f>IF(AS95=1,MAX(AQ93:AR93),IF(AS95=2,MIN(AQ93:AR93),"-"))</f>
        <v>-</v>
      </c>
      <c r="BE94" s="188"/>
      <c r="BF94" s="188"/>
      <c r="BG94" s="188"/>
      <c r="BH94" s="188"/>
    </row>
    <row r="95" spans="1:60" ht="58.95" customHeight="1" thickBot="1" x14ac:dyDescent="0.25">
      <c r="A95" s="12"/>
      <c r="B95" s="319"/>
      <c r="C95" s="363"/>
      <c r="D95" s="374"/>
      <c r="E95" s="369"/>
      <c r="F95" s="377"/>
      <c r="G95" s="266" t="s">
        <v>168</v>
      </c>
      <c r="H95" s="296" t="s">
        <v>351</v>
      </c>
      <c r="I95" s="351"/>
      <c r="J95" s="351"/>
      <c r="K95" s="351"/>
      <c r="L95" s="351"/>
      <c r="M95" s="351"/>
      <c r="N95" s="351"/>
      <c r="O95" s="351"/>
      <c r="P95" s="351"/>
      <c r="Q95" s="295"/>
      <c r="R95" s="189" t="s">
        <v>168</v>
      </c>
      <c r="S95" s="354"/>
      <c r="T95" s="117"/>
      <c r="U95" s="117"/>
      <c r="V95" s="246">
        <f t="shared" si="4"/>
        <v>0</v>
      </c>
      <c r="W95" s="361"/>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f>IF('1.基本データ(このシートは削除しないこと！)'!$H$17=2,MAX(AK95:AL95),0)</f>
        <v>0</v>
      </c>
      <c r="AO95" s="182">
        <f>IF('1.基本データ(このシートは削除しないこと！)'!$H$17=3,MAX(AK95:AM95),0)</f>
        <v>0</v>
      </c>
      <c r="AP95" s="183">
        <f>IF(AND('1.基本データ(このシートは削除しないこと！)'!$H$17=4,AF95="県内"),V95*AI95,0)</f>
        <v>0</v>
      </c>
      <c r="AQ95" s="488"/>
      <c r="AR95" s="457"/>
      <c r="AS95" s="193">
        <f>IF(G95=リスト!Q4,1,IF(G95=リスト!Q5,2,0))</f>
        <v>0</v>
      </c>
      <c r="AT95" s="1">
        <f>AS95</f>
        <v>0</v>
      </c>
      <c r="BE95" s="188"/>
      <c r="BF95" s="188"/>
      <c r="BG95" s="188"/>
      <c r="BH95" s="188"/>
    </row>
    <row r="96" spans="1:60" ht="79.95" customHeight="1" thickBot="1" x14ac:dyDescent="0.25">
      <c r="A96" s="12"/>
      <c r="B96" s="319"/>
      <c r="C96" s="363"/>
      <c r="D96" s="365" t="s">
        <v>267</v>
      </c>
      <c r="E96" s="368">
        <f>AG96</f>
        <v>1.25</v>
      </c>
      <c r="F96" s="320" t="str">
        <f>IF(OR($AS$90=0,V96+V97=0),"-",AQ96)</f>
        <v>-</v>
      </c>
      <c r="G96" s="407" t="s">
        <v>352</v>
      </c>
      <c r="H96" s="404"/>
      <c r="I96" s="404"/>
      <c r="J96" s="404"/>
      <c r="K96" s="404"/>
      <c r="L96" s="404"/>
      <c r="M96" s="404"/>
      <c r="N96" s="404"/>
      <c r="O96" s="404"/>
      <c r="P96" s="404"/>
      <c r="Q96" s="404"/>
      <c r="R96" s="184" t="s">
        <v>168</v>
      </c>
      <c r="S96" s="352" t="s">
        <v>168</v>
      </c>
      <c r="T96" s="125"/>
      <c r="U96" s="125"/>
      <c r="V96" s="118">
        <f t="shared" si="4"/>
        <v>0</v>
      </c>
      <c r="W96" s="360">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f>IF('1.基本データ(このシートは削除しないこと！)'!$H$17=2,MAX(AK96:AL96),0)</f>
        <v>0</v>
      </c>
      <c r="AO96" s="178">
        <f>IF('1.基本データ(このシートは削除しないこと！)'!$H$17=3,MAX(AK96:AM96),0)</f>
        <v>0</v>
      </c>
      <c r="AP96" s="179">
        <f>IF(AND('1.基本データ(このシートは削除しないこと！)'!$H$17=4,AF96="県内"),V96*AI96,0)</f>
        <v>0</v>
      </c>
      <c r="AQ96" s="156">
        <f>IF(W96&lt;=2,MAX(AN96:AP97),"-")</f>
        <v>0</v>
      </c>
      <c r="BE96" s="190"/>
      <c r="BF96" s="190"/>
      <c r="BG96" s="190"/>
      <c r="BH96" s="190"/>
    </row>
    <row r="97" spans="1:46" ht="34.950000000000003" customHeight="1" thickBot="1" x14ac:dyDescent="0.25">
      <c r="A97" s="12"/>
      <c r="B97" s="319"/>
      <c r="C97" s="363"/>
      <c r="D97" s="366"/>
      <c r="E97" s="369"/>
      <c r="F97" s="321"/>
      <c r="G97" s="295" t="s">
        <v>357</v>
      </c>
      <c r="H97" s="484"/>
      <c r="I97" s="484"/>
      <c r="J97" s="484"/>
      <c r="K97" s="484"/>
      <c r="L97" s="484"/>
      <c r="M97" s="484"/>
      <c r="N97" s="484"/>
      <c r="O97" s="484"/>
      <c r="P97" s="484"/>
      <c r="Q97" s="484"/>
      <c r="R97" s="184" t="s">
        <v>168</v>
      </c>
      <c r="S97" s="354"/>
      <c r="T97" s="117"/>
      <c r="U97" s="117"/>
      <c r="V97" s="68">
        <f t="shared" ref="V97:V102" si="11">IF(R97="有",1,0)</f>
        <v>0</v>
      </c>
      <c r="W97" s="361"/>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f>IF('1.基本データ(このシートは削除しないこと！)'!$H$17=2,MAX(AK97:AL97),0)</f>
        <v>0</v>
      </c>
      <c r="AO97" s="182">
        <f>IF('1.基本データ(このシートは削除しないこと！)'!$H$17=3,MAX(AK97:AM97),0)</f>
        <v>0</v>
      </c>
      <c r="AP97" s="183">
        <f>IF(AND('1.基本データ(このシートは削除しないこと！)'!$H$17=4,AF97="県内"),V97*AI97,0)</f>
        <v>0</v>
      </c>
      <c r="AQ97" s="157"/>
    </row>
    <row r="98" spans="1:46" ht="34.950000000000003" customHeight="1" thickBot="1" x14ac:dyDescent="0.25">
      <c r="A98" s="12"/>
      <c r="B98" s="319"/>
      <c r="C98" s="363"/>
      <c r="D98" s="365" t="s">
        <v>229</v>
      </c>
      <c r="E98" s="368">
        <f>AG98</f>
        <v>1.25</v>
      </c>
      <c r="F98" s="320" t="str">
        <f>IF(OR($AS$90=0,V98+V99=0),"-",AQ98)</f>
        <v>-</v>
      </c>
      <c r="G98" s="295" t="s">
        <v>358</v>
      </c>
      <c r="H98" s="484"/>
      <c r="I98" s="484"/>
      <c r="J98" s="484"/>
      <c r="K98" s="484"/>
      <c r="L98" s="484"/>
      <c r="M98" s="484"/>
      <c r="N98" s="484"/>
      <c r="O98" s="484"/>
      <c r="P98" s="484"/>
      <c r="Q98" s="484"/>
      <c r="R98" s="184" t="s">
        <v>168</v>
      </c>
      <c r="S98" s="352" t="s">
        <v>168</v>
      </c>
      <c r="T98" s="117"/>
      <c r="U98" s="117"/>
      <c r="V98" s="118">
        <f>IF(R98="有",1,0)</f>
        <v>0</v>
      </c>
      <c r="W98" s="360">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f>IF('1.基本データ(このシートは削除しないこと！)'!$H$17=2,MAX(AK98:AL98),0)</f>
        <v>0</v>
      </c>
      <c r="AO98" s="178">
        <f>IF('1.基本データ(このシートは削除しないこと！)'!$H$17=3,MAX(AK98:AM98),0)</f>
        <v>0</v>
      </c>
      <c r="AP98" s="179">
        <f>IF(AND('1.基本データ(このシートは削除しないこと！)'!$H$17=4,AF98="県内"),V98*AI98,0)</f>
        <v>0</v>
      </c>
      <c r="AQ98" s="156">
        <f>IF(W98&lt;=2,MAX(AN98:AP99),"-")</f>
        <v>0</v>
      </c>
    </row>
    <row r="99" spans="1:46" ht="34.950000000000003" customHeight="1" thickBot="1" x14ac:dyDescent="0.25">
      <c r="A99" s="12"/>
      <c r="B99" s="319"/>
      <c r="C99" s="363"/>
      <c r="D99" s="366"/>
      <c r="E99" s="369"/>
      <c r="F99" s="321"/>
      <c r="G99" s="295" t="s">
        <v>359</v>
      </c>
      <c r="H99" s="484"/>
      <c r="I99" s="484"/>
      <c r="J99" s="484"/>
      <c r="K99" s="484"/>
      <c r="L99" s="484"/>
      <c r="M99" s="484"/>
      <c r="N99" s="484"/>
      <c r="O99" s="484"/>
      <c r="P99" s="484"/>
      <c r="Q99" s="484"/>
      <c r="R99" s="184" t="s">
        <v>168</v>
      </c>
      <c r="S99" s="354"/>
      <c r="T99" s="132"/>
      <c r="U99" s="132"/>
      <c r="V99" s="68">
        <f>IF(R99="有",1,0)</f>
        <v>0</v>
      </c>
      <c r="W99" s="361"/>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f>IF('1.基本データ(このシートは削除しないこと！)'!$H$17=2,MAX(AK99:AL99),0)</f>
        <v>0</v>
      </c>
      <c r="AO99" s="182">
        <f>IF('1.基本データ(このシートは削除しないこと！)'!$H$17=3,MAX(AK99:AM99),0)</f>
        <v>0</v>
      </c>
      <c r="AP99" s="183">
        <f>IF(AND('1.基本データ(このシートは削除しないこと！)'!$H$17=4,AF99="県内"),V99*AI99,0)</f>
        <v>0</v>
      </c>
      <c r="AQ99" s="157"/>
    </row>
    <row r="100" spans="1:46" ht="79.95" customHeight="1" thickBot="1" x14ac:dyDescent="0.25">
      <c r="A100" s="12"/>
      <c r="B100" s="319"/>
      <c r="C100" s="363"/>
      <c r="D100" s="381" t="s">
        <v>397</v>
      </c>
      <c r="E100" s="368">
        <v>1.75</v>
      </c>
      <c r="F100" s="322" t="str">
        <f>IF(OR('1.基本データ(このシートは削除しないこと！)'!H16=10,$AS$90=0,AQ100=0,SUM(V100:V102)=0),"-",AS101)</f>
        <v>-</v>
      </c>
      <c r="G100" s="388" t="s">
        <v>388</v>
      </c>
      <c r="H100" s="351" t="s">
        <v>382</v>
      </c>
      <c r="I100" s="295"/>
      <c r="J100" s="295"/>
      <c r="K100" s="295"/>
      <c r="L100" s="295"/>
      <c r="M100" s="295"/>
      <c r="N100" s="295"/>
      <c r="O100" s="295"/>
      <c r="P100" s="295"/>
      <c r="Q100" s="384"/>
      <c r="R100" s="184" t="s">
        <v>168</v>
      </c>
      <c r="S100" s="352" t="s">
        <v>168</v>
      </c>
      <c r="T100" s="117"/>
      <c r="U100" s="117"/>
      <c r="V100" s="118">
        <f>IF(R100="有",1,0)</f>
        <v>0</v>
      </c>
      <c r="W100" s="360">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f>IF('1.基本データ(このシートは削除しないこと！)'!$H$17=2,MAX(AK100:AL100),0)</f>
        <v>0</v>
      </c>
      <c r="AO100" s="178">
        <f>IF('1.基本データ(このシートは削除しないこと！)'!$H$17=3,MAX(AK100:AM100),0)</f>
        <v>0</v>
      </c>
      <c r="AP100" s="179">
        <f>IF(AND('1.基本データ(このシートは削除しないこと！)'!$H$17=4,AF100="県内"),V100*AI100,0)</f>
        <v>0</v>
      </c>
      <c r="AQ100" s="471">
        <f>IF(W100&lt;=2,MAX(AN100:AP102),"-")</f>
        <v>0</v>
      </c>
      <c r="AR100" s="474">
        <f>AQ100+0.25</f>
        <v>0.25</v>
      </c>
    </row>
    <row r="101" spans="1:46" ht="60" customHeight="1" thickBot="1" x14ac:dyDescent="0.25">
      <c r="A101" s="12"/>
      <c r="B101" s="319"/>
      <c r="C101" s="363"/>
      <c r="D101" s="382"/>
      <c r="E101" s="370"/>
      <c r="F101" s="320"/>
      <c r="G101" s="389"/>
      <c r="H101" s="351" t="s">
        <v>381</v>
      </c>
      <c r="I101" s="295"/>
      <c r="J101" s="295"/>
      <c r="K101" s="295"/>
      <c r="L101" s="295"/>
      <c r="M101" s="295"/>
      <c r="N101" s="295"/>
      <c r="O101" s="295"/>
      <c r="P101" s="295"/>
      <c r="Q101" s="384"/>
      <c r="R101" s="184" t="s">
        <v>168</v>
      </c>
      <c r="S101" s="353"/>
      <c r="T101" s="117"/>
      <c r="U101" s="117"/>
      <c r="V101" s="218">
        <f>IF(R101="有",1,0)</f>
        <v>0</v>
      </c>
      <c r="W101" s="367"/>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f>IF('1.基本データ(このシートは削除しないこと！)'!$H$17=2,MAX(AK101:AL101),0)</f>
        <v>0</v>
      </c>
      <c r="AO101" s="180">
        <f>IF('1.基本データ(このシートは削除しないこと！)'!$H$17=3,MAX(AK101:AM101),0)</f>
        <v>0</v>
      </c>
      <c r="AP101" s="181">
        <f>IF(AND('1.基本データ(このシートは削除しないこと！)'!$H$17=4,AF101="県内"),V101*AI101,0)</f>
        <v>0</v>
      </c>
      <c r="AQ101" s="472"/>
      <c r="AR101" s="475"/>
      <c r="AS101" s="19" t="str">
        <f>IF(AS102=1,MAX(AQ100:AR100),IF(AS102=2,MIN(AQ100:AR100),"-"))</f>
        <v>-</v>
      </c>
    </row>
    <row r="102" spans="1:46" ht="60" customHeight="1" thickBot="1" x14ac:dyDescent="0.25">
      <c r="A102" s="12"/>
      <c r="B102" s="319"/>
      <c r="C102" s="364"/>
      <c r="D102" s="383"/>
      <c r="E102" s="371"/>
      <c r="F102" s="323"/>
      <c r="G102" s="267" t="s">
        <v>168</v>
      </c>
      <c r="H102" s="379" t="s">
        <v>360</v>
      </c>
      <c r="I102" s="380"/>
      <c r="J102" s="380"/>
      <c r="K102" s="380"/>
      <c r="L102" s="380"/>
      <c r="M102" s="380"/>
      <c r="N102" s="380"/>
      <c r="O102" s="380"/>
      <c r="P102" s="380"/>
      <c r="Q102" s="380"/>
      <c r="R102" s="184" t="s">
        <v>168</v>
      </c>
      <c r="S102" s="354"/>
      <c r="T102" s="117"/>
      <c r="U102" s="117"/>
      <c r="V102" s="68">
        <f t="shared" si="11"/>
        <v>0</v>
      </c>
      <c r="W102" s="361"/>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f>IF('1.基本データ(このシートは削除しないこと！)'!$H$17=2,MAX(AK102:AL102),0)</f>
        <v>0</v>
      </c>
      <c r="AO102" s="233">
        <f>IF('1.基本データ(このシートは削除しないこと！)'!$H$17=3,MAX(AK102:AM102),0)</f>
        <v>0</v>
      </c>
      <c r="AP102" s="234">
        <f>IF(AND('1.基本データ(このシートは削除しないこと！)'!$H$17=4,AF102="県内"),V102*AI102,0)</f>
        <v>0</v>
      </c>
      <c r="AQ102" s="473"/>
      <c r="AR102" s="476"/>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R64:R66"/>
    <mergeCell ref="G51:S51"/>
    <mergeCell ref="G56:H56"/>
    <mergeCell ref="G55:H55"/>
    <mergeCell ref="G57:S57"/>
    <mergeCell ref="G60:Q60"/>
    <mergeCell ref="G58:Q58"/>
    <mergeCell ref="S52:S54"/>
    <mergeCell ref="I52:Q52"/>
    <mergeCell ref="I53:Q53"/>
    <mergeCell ref="M54:O54"/>
    <mergeCell ref="K66:L66"/>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xr:uid="{00000000-0002-0000-0100-000000000000}"/>
    <dataValidation type="whole" imeMode="halfAlpha" allowBlank="1" showInputMessage="1" showErrorMessage="1" errorTitle="無効な入力" error="２桁で入力してください" prompt="2桁を入力してください" sqref="J55 J67" xr:uid="{00000000-0002-0000-0100-000001000000}">
      <formula1>10</formula1>
      <formula2>24</formula2>
    </dataValidation>
    <dataValidation imeMode="disabled" allowBlank="1" showInputMessage="1" showErrorMessage="1" sqref="P66 I54:J54 I66:J66 N64:Q65 I64:L65 I68:L69 N68:Q69" xr:uid="{00000000-0002-0000-0100-000002000000}"/>
    <dataValidation type="textLength" imeMode="disabled" operator="equal" allowBlank="1" showInputMessage="1" showErrorMessage="1" errorTitle="無効な入力" error="5桁で入力してください" prompt="5桁を入力してください" sqref="L55:M55 L67:M67" xr:uid="{00000000-0002-0000-0100-000003000000}">
      <formula1>5</formula1>
    </dataValidation>
    <dataValidation type="textLength" imeMode="disabled" operator="equal" allowBlank="1" showInputMessage="1" showErrorMessage="1" errorTitle="無効な入力" error="4桁で入力してください" prompt="4桁を入力してください" sqref="O55:P55 O67:P67" xr:uid="{00000000-0002-0000-0100-000004000000}">
      <formula1>4</formula1>
    </dataValidation>
    <dataValidation imeMode="disabled" allowBlank="1" showInputMessage="1" showErrorMessage="1" prompt="直近の工事成績が対象　手引き要確認" sqref="I56:O56" xr:uid="{00000000-0002-0000-0100-000005000000}"/>
    <dataValidation allowBlank="1" showInputMessage="1" showErrorMessage="1" prompt="若手・女性技術者の「氏名」を入力" sqref="K79:Q79"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リスト!$M$4:$M$5</xm:f>
          </x14:formula1>
          <xm:sqref>S58:S61 R91:R99 R101:R102</xm:sqref>
        </x14:dataValidation>
        <x14:dataValidation type="list" allowBlank="1" showInputMessage="1" showErrorMessage="1" xr:uid="{00000000-0002-0000-0100-000008000000}">
          <x14:formula1>
            <xm:f>リスト2!$C$3:$C$64</xm:f>
          </x14:formula1>
          <xm:sqref>K82 K85 S91:S93 S96 S98 S100:S102</xm:sqref>
        </x14:dataValidation>
        <x14:dataValidation type="list" allowBlank="1" showInputMessage="1" showErrorMessage="1" prompt="同一発注種別の工事成績が対象" xr:uid="{00000000-0002-0000-0100-000009000000}">
          <x14:formula1>
            <xm:f>リスト!$H$4:$H$22</xm:f>
          </x14:formula1>
          <xm:sqref>S55</xm:sqref>
        </x14:dataValidation>
        <x14:dataValidation type="list" allowBlank="1" showInputMessage="1" showErrorMessage="1" xr:uid="{00000000-0002-0000-0100-00000A000000}">
          <x14:formula1>
            <xm:f>リスト!$N$5:$N$7</xm:f>
          </x14:formula1>
          <xm:sqref>K86</xm:sqref>
        </x14:dataValidation>
        <x14:dataValidation type="list" allowBlank="1" showInputMessage="1" showErrorMessage="1" xr:uid="{00000000-0002-0000-0100-00000B000000}">
          <x14:formula1>
            <xm:f>リスト!$N$4:$N$7</xm:f>
          </x14:formula1>
          <xm:sqref>K83</xm:sqref>
        </x14:dataValidation>
        <x14:dataValidation type="list" allowBlank="1" showInputMessage="1" showErrorMessage="1" xr:uid="{00000000-0002-0000-0100-00000C000000}">
          <x14:formula1>
            <xm:f>リスト!$K$9:$K$12</xm:f>
          </x14:formula1>
          <xm:sqref>K80</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xr:uid="{00000000-0002-0000-0100-00000E000000}">
          <x14:formula1>
            <xm:f>リスト!$F$4:$F$7</xm:f>
          </x14:formula1>
          <xm:sqref>S56</xm:sqref>
        </x14:dataValidation>
        <x14:dataValidation type="list" allowBlank="1" showInputMessage="1" showErrorMessage="1" prompt="選択" xr:uid="{00000000-0002-0000-0100-00000F000000}">
          <x14:formula1>
            <xm:f>リスト!$O$4:$O$6</xm:f>
          </x14:formula1>
          <xm:sqref>R79:S79</xm:sqref>
        </x14:dataValidation>
        <x14:dataValidation type="list" allowBlank="1" showInputMessage="1" showErrorMessage="1" xr:uid="{00000000-0002-0000-0100-000010000000}">
          <x14:formula1>
            <xm:f>リスト!$Q$4:$Q$6</xm:f>
          </x14:formula1>
          <xm:sqref>G95 G102</xm:sqref>
        </x14:dataValidation>
        <x14:dataValidation type="list" allowBlank="1" showInputMessage="1" showErrorMessage="1" prompt="一般土木工事及び舗装工事の場合" xr:uid="{00000000-0002-0000-0100-000011000000}">
          <x14:formula1>
            <xm:f>リスト!$M$4:$M$5</xm:f>
          </x14:formula1>
          <xm:sqref>R100</xm:sqref>
        </x14:dataValidation>
        <x14:dataValidation type="list" allowBlank="1" showInputMessage="1" showErrorMessage="1" xr:uid="{6D8757EF-7338-4ABB-A21C-3F61812A9577}">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260</v>
      </c>
      <c r="Q3" s="2" t="s">
        <v>333</v>
      </c>
    </row>
    <row r="4" spans="1:17" x14ac:dyDescent="0.2">
      <c r="A4" s="2" t="s">
        <v>38</v>
      </c>
      <c r="B4" s="2" t="s">
        <v>34</v>
      </c>
      <c r="E4" s="2" t="s">
        <v>20</v>
      </c>
      <c r="F4" s="2" t="s">
        <v>303</v>
      </c>
      <c r="G4" s="2" t="s">
        <v>303</v>
      </c>
      <c r="H4" s="2" t="s">
        <v>335</v>
      </c>
      <c r="I4" s="2" t="s">
        <v>170</v>
      </c>
      <c r="K4" s="2" t="s">
        <v>196</v>
      </c>
      <c r="L4" s="2" t="s">
        <v>23</v>
      </c>
      <c r="M4" s="2" t="s">
        <v>24</v>
      </c>
      <c r="N4" s="2" t="s">
        <v>224</v>
      </c>
      <c r="O4" s="2" t="s">
        <v>328</v>
      </c>
      <c r="Q4" s="2" t="s">
        <v>331</v>
      </c>
    </row>
    <row r="5" spans="1:17" x14ac:dyDescent="0.2">
      <c r="A5" s="2" t="s">
        <v>37</v>
      </c>
      <c r="B5" s="2" t="s">
        <v>35</v>
      </c>
      <c r="E5" s="2" t="s">
        <v>26</v>
      </c>
      <c r="F5" s="2" t="s">
        <v>302</v>
      </c>
      <c r="G5" s="2" t="s">
        <v>302</v>
      </c>
      <c r="H5" s="2" t="s">
        <v>122</v>
      </c>
      <c r="I5" s="2" t="s">
        <v>3</v>
      </c>
      <c r="K5" s="2" t="s">
        <v>335</v>
      </c>
      <c r="L5" s="2" t="s">
        <v>28</v>
      </c>
      <c r="M5" s="2" t="s">
        <v>335</v>
      </c>
      <c r="N5" s="2" t="s">
        <v>25</v>
      </c>
      <c r="O5" s="2" t="s">
        <v>329</v>
      </c>
      <c r="Q5" s="2" t="s">
        <v>332</v>
      </c>
    </row>
    <row r="6" spans="1:17" x14ac:dyDescent="0.2">
      <c r="A6" s="2" t="s">
        <v>301</v>
      </c>
      <c r="B6" s="2" t="s">
        <v>4</v>
      </c>
      <c r="E6" s="2" t="s">
        <v>29</v>
      </c>
      <c r="F6" s="2" t="s">
        <v>135</v>
      </c>
      <c r="G6" s="2" t="s">
        <v>199</v>
      </c>
      <c r="H6" s="2" t="s">
        <v>123</v>
      </c>
      <c r="I6" s="2" t="s">
        <v>335</v>
      </c>
      <c r="L6" s="2" t="s">
        <v>335</v>
      </c>
      <c r="N6" s="2" t="s">
        <v>3</v>
      </c>
      <c r="O6" s="2" t="s">
        <v>335</v>
      </c>
      <c r="Q6" s="2" t="s">
        <v>335</v>
      </c>
    </row>
    <row r="7" spans="1:17" x14ac:dyDescent="0.2">
      <c r="B7" s="2" t="s">
        <v>36</v>
      </c>
      <c r="E7" s="2" t="s">
        <v>335</v>
      </c>
      <c r="F7" s="2" t="s">
        <v>335</v>
      </c>
      <c r="H7" s="2" t="s">
        <v>174</v>
      </c>
      <c r="N7" s="2" t="s">
        <v>335</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335</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284</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335</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335</v>
      </c>
      <c r="F64" s="1" t="s">
        <v>336</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
  <cp:lastModifiedBy>朝倉 将弘</cp:lastModifiedBy>
  <cp:lastPrinted>2024-03-23T10:45:39Z</cp:lastPrinted>
  <dcterms:created xsi:type="dcterms:W3CDTF">2018-06-11T09:00:18Z</dcterms:created>
  <dcterms:modified xsi:type="dcterms:W3CDTF">2025-10-06T05:49:22Z</dcterms:modified>
</cp:coreProperties>
</file>