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2.160.58\disk1\福利課共有\長期\退職手当\00退職手当簡易計算シート\R7\施行用\"/>
    </mc:Choice>
  </mc:AlternateContent>
  <bookViews>
    <workbookView xWindow="0" yWindow="0" windowWidth="23040" windowHeight="9096"/>
  </bookViews>
  <sheets>
    <sheet name="簡易試算シート" sheetId="1" r:id="rId1"/>
    <sheet name="調整額の簡易確認表" sheetId="7" r:id="rId2"/>
    <sheet name="支給率" sheetId="2" r:id="rId3"/>
    <sheet name="除算期間" sheetId="6" r:id="rId4"/>
    <sheet name="ピーク時特例" sheetId="5" r:id="rId5"/>
    <sheet name="調整額適用表シート" sheetId="3" r:id="rId6"/>
    <sheet name="税額計算" sheetId="4" r:id="rId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6" i="7" l="1"/>
  <c r="M77" i="7" l="1"/>
  <c r="N77" i="7" s="1"/>
  <c r="K77" i="7"/>
  <c r="L77" i="7" s="1"/>
  <c r="J77" i="7"/>
  <c r="M76" i="7"/>
  <c r="N76" i="7" s="1"/>
  <c r="K76" i="7"/>
  <c r="L76" i="7" s="1"/>
  <c r="J76" i="7"/>
  <c r="M75" i="7"/>
  <c r="N75" i="7" s="1"/>
  <c r="K75" i="7"/>
  <c r="L75" i="7" s="1"/>
  <c r="J75" i="7"/>
  <c r="M74" i="7"/>
  <c r="N74" i="7" s="1"/>
  <c r="K74" i="7"/>
  <c r="L74" i="7" s="1"/>
  <c r="J74" i="7"/>
  <c r="M73" i="7"/>
  <c r="N73" i="7" s="1"/>
  <c r="K73" i="7"/>
  <c r="L73" i="7" s="1"/>
  <c r="J73" i="7"/>
  <c r="M72" i="7"/>
  <c r="N72" i="7" s="1"/>
  <c r="K72" i="7"/>
  <c r="L72" i="7" s="1"/>
  <c r="J72" i="7"/>
  <c r="M71" i="7"/>
  <c r="N71" i="7" s="1"/>
  <c r="K71" i="7"/>
  <c r="L71" i="7" s="1"/>
  <c r="J71" i="7"/>
  <c r="M70" i="7"/>
  <c r="N70" i="7" s="1"/>
  <c r="K70" i="7"/>
  <c r="L70" i="7" s="1"/>
  <c r="J70" i="7"/>
  <c r="M69" i="7"/>
  <c r="N69" i="7" s="1"/>
  <c r="K69" i="7"/>
  <c r="L69" i="7" s="1"/>
  <c r="J69" i="7"/>
  <c r="M68" i="7"/>
  <c r="N68" i="7" s="1"/>
  <c r="K68" i="7"/>
  <c r="L68" i="7" s="1"/>
  <c r="J68" i="7"/>
  <c r="M67" i="7"/>
  <c r="N67" i="7" s="1"/>
  <c r="K67" i="7"/>
  <c r="L67" i="7" s="1"/>
  <c r="J67" i="7"/>
  <c r="M66" i="7"/>
  <c r="N66" i="7" s="1"/>
  <c r="K66" i="7"/>
  <c r="L66" i="7" s="1"/>
  <c r="J66" i="7"/>
  <c r="M65" i="7"/>
  <c r="N65" i="7" s="1"/>
  <c r="K65" i="7"/>
  <c r="L65" i="7" s="1"/>
  <c r="J65" i="7"/>
  <c r="M64" i="7"/>
  <c r="N64" i="7" s="1"/>
  <c r="K64" i="7"/>
  <c r="L64" i="7" s="1"/>
  <c r="J64" i="7"/>
  <c r="M63" i="7"/>
  <c r="N63" i="7" s="1"/>
  <c r="K63" i="7"/>
  <c r="L63" i="7" s="1"/>
  <c r="J63" i="7"/>
  <c r="M62" i="7"/>
  <c r="N62" i="7" s="1"/>
  <c r="K62" i="7"/>
  <c r="L62" i="7" s="1"/>
  <c r="J62" i="7"/>
  <c r="M61" i="7"/>
  <c r="N61" i="7" s="1"/>
  <c r="K61" i="7"/>
  <c r="L61" i="7" s="1"/>
  <c r="J61" i="7"/>
  <c r="M60" i="7"/>
  <c r="N60" i="7" s="1"/>
  <c r="K60" i="7"/>
  <c r="L60" i="7" s="1"/>
  <c r="J60" i="7"/>
  <c r="M59" i="7"/>
  <c r="N59" i="7" s="1"/>
  <c r="K59" i="7"/>
  <c r="L59" i="7" s="1"/>
  <c r="J59" i="7"/>
  <c r="M58" i="7"/>
  <c r="N58" i="7" s="1"/>
  <c r="K58" i="7"/>
  <c r="L58" i="7" s="1"/>
  <c r="J58" i="7"/>
  <c r="M57" i="7"/>
  <c r="N57" i="7" s="1"/>
  <c r="K57" i="7"/>
  <c r="L57" i="7" s="1"/>
  <c r="J57" i="7"/>
  <c r="M56" i="7"/>
  <c r="N56" i="7" s="1"/>
  <c r="K56" i="7"/>
  <c r="L56" i="7" s="1"/>
  <c r="J56" i="7"/>
  <c r="M55" i="7"/>
  <c r="N55" i="7" s="1"/>
  <c r="K55" i="7"/>
  <c r="L55" i="7" s="1"/>
  <c r="J55" i="7"/>
  <c r="M54" i="7"/>
  <c r="N54" i="7" s="1"/>
  <c r="K54" i="7"/>
  <c r="L54" i="7" s="1"/>
  <c r="J54" i="7"/>
  <c r="M53" i="7"/>
  <c r="N53" i="7" s="1"/>
  <c r="K53" i="7"/>
  <c r="L53" i="7" s="1"/>
  <c r="J53" i="7"/>
  <c r="M52" i="7"/>
  <c r="N52" i="7" s="1"/>
  <c r="K52" i="7"/>
  <c r="L52" i="7" s="1"/>
  <c r="J52" i="7"/>
  <c r="M51" i="7"/>
  <c r="N51" i="7" s="1"/>
  <c r="K51" i="7"/>
  <c r="L51" i="7" s="1"/>
  <c r="J51" i="7"/>
  <c r="M50" i="7"/>
  <c r="N50" i="7" s="1"/>
  <c r="K50" i="7"/>
  <c r="L50" i="7" s="1"/>
  <c r="J50" i="7"/>
  <c r="M49" i="7"/>
  <c r="N49" i="7" s="1"/>
  <c r="K49" i="7"/>
  <c r="L49" i="7" s="1"/>
  <c r="J49" i="7"/>
  <c r="M48" i="7"/>
  <c r="N48" i="7" s="1"/>
  <c r="K48" i="7"/>
  <c r="L48" i="7" s="1"/>
  <c r="J48" i="7"/>
  <c r="M47" i="7"/>
  <c r="N47" i="7" s="1"/>
  <c r="K47" i="7"/>
  <c r="L47" i="7" s="1"/>
  <c r="J47" i="7"/>
  <c r="M46" i="7"/>
  <c r="N46" i="7" s="1"/>
  <c r="K46" i="7"/>
  <c r="L46" i="7" s="1"/>
  <c r="J46" i="7"/>
  <c r="M45" i="7"/>
  <c r="N45" i="7" s="1"/>
  <c r="K45" i="7"/>
  <c r="L45" i="7" s="1"/>
  <c r="J45" i="7"/>
  <c r="M44" i="7"/>
  <c r="N44" i="7" s="1"/>
  <c r="K44" i="7"/>
  <c r="L44" i="7" s="1"/>
  <c r="J44" i="7"/>
  <c r="M43" i="7"/>
  <c r="N43" i="7" s="1"/>
  <c r="K43" i="7"/>
  <c r="L43" i="7" s="1"/>
  <c r="J43" i="7"/>
  <c r="M42" i="7"/>
  <c r="N42" i="7" s="1"/>
  <c r="K42" i="7"/>
  <c r="L42" i="7" s="1"/>
  <c r="J42" i="7"/>
  <c r="M41" i="7"/>
  <c r="N41" i="7" s="1"/>
  <c r="K41" i="7"/>
  <c r="L41" i="7" s="1"/>
  <c r="J41" i="7"/>
  <c r="M40" i="7"/>
  <c r="N40" i="7" s="1"/>
  <c r="K40" i="7"/>
  <c r="L40" i="7" s="1"/>
  <c r="J40" i="7"/>
  <c r="M39" i="7"/>
  <c r="N39" i="7" s="1"/>
  <c r="K39" i="7"/>
  <c r="L39" i="7" s="1"/>
  <c r="J39" i="7"/>
  <c r="M38" i="7"/>
  <c r="N38" i="7" s="1"/>
  <c r="K38" i="7"/>
  <c r="L38" i="7" s="1"/>
  <c r="J38" i="7"/>
  <c r="M37" i="7"/>
  <c r="N37" i="7" s="1"/>
  <c r="K37" i="7"/>
  <c r="L37" i="7" s="1"/>
  <c r="J37" i="7"/>
  <c r="M36" i="7"/>
  <c r="N36" i="7" s="1"/>
  <c r="K36" i="7"/>
  <c r="J36" i="7"/>
  <c r="M35" i="7"/>
  <c r="N35" i="7" s="1"/>
  <c r="K35" i="7"/>
  <c r="L35" i="7" s="1"/>
  <c r="J35" i="7"/>
  <c r="M34" i="7"/>
  <c r="K34" i="7"/>
  <c r="L34" i="7" s="1"/>
  <c r="J34" i="7"/>
  <c r="M33" i="7"/>
  <c r="N33" i="7" s="1"/>
  <c r="K33" i="7"/>
  <c r="L33" i="7" s="1"/>
  <c r="J33" i="7"/>
  <c r="M32" i="7"/>
  <c r="N32" i="7" s="1"/>
  <c r="K32" i="7"/>
  <c r="L32" i="7" s="1"/>
  <c r="J32" i="7"/>
  <c r="M31" i="7"/>
  <c r="N31" i="7" s="1"/>
  <c r="K31" i="7"/>
  <c r="L31" i="7" s="1"/>
  <c r="J31" i="7"/>
  <c r="M30" i="7"/>
  <c r="N30" i="7" s="1"/>
  <c r="K30" i="7"/>
  <c r="L30" i="7" s="1"/>
  <c r="J30" i="7"/>
  <c r="M29" i="7"/>
  <c r="N29" i="7" s="1"/>
  <c r="K29" i="7"/>
  <c r="L29" i="7" s="1"/>
  <c r="J29" i="7"/>
  <c r="M28" i="7"/>
  <c r="N28" i="7" s="1"/>
  <c r="K28" i="7"/>
  <c r="L28" i="7" s="1"/>
  <c r="J28" i="7"/>
  <c r="N27" i="7"/>
  <c r="M27" i="7"/>
  <c r="K27" i="7"/>
  <c r="L27" i="7" s="1"/>
  <c r="J27" i="7"/>
  <c r="M26" i="7"/>
  <c r="N26" i="7" s="1"/>
  <c r="K26" i="7"/>
  <c r="L26" i="7" s="1"/>
  <c r="J26" i="7"/>
  <c r="M25" i="7"/>
  <c r="N25" i="7" s="1"/>
  <c r="K25" i="7"/>
  <c r="L25" i="7" s="1"/>
  <c r="J25" i="7"/>
  <c r="M24" i="7"/>
  <c r="N24" i="7" s="1"/>
  <c r="K24" i="7"/>
  <c r="L24" i="7" s="1"/>
  <c r="J24" i="7"/>
  <c r="X23" i="7"/>
  <c r="N23" i="7"/>
  <c r="M23" i="7"/>
  <c r="L23" i="7"/>
  <c r="K23" i="7"/>
  <c r="J23" i="7"/>
  <c r="M22" i="7"/>
  <c r="N22" i="7" s="1"/>
  <c r="K22" i="7"/>
  <c r="L22" i="7" s="1"/>
  <c r="J22" i="7"/>
  <c r="M21" i="7"/>
  <c r="N21" i="7" s="1"/>
  <c r="L21" i="7"/>
  <c r="K21" i="7"/>
  <c r="J21" i="7"/>
  <c r="M20" i="7"/>
  <c r="N20" i="7" s="1"/>
  <c r="K20" i="7"/>
  <c r="L20" i="7" s="1"/>
  <c r="J20" i="7"/>
  <c r="M19" i="7"/>
  <c r="N19" i="7" s="1"/>
  <c r="K19" i="7"/>
  <c r="L19" i="7" s="1"/>
  <c r="J19" i="7"/>
  <c r="M18" i="7"/>
  <c r="N18" i="7" s="1"/>
  <c r="K18" i="7"/>
  <c r="L18" i="7" s="1"/>
  <c r="J18" i="7"/>
  <c r="M17" i="7"/>
  <c r="N17" i="7" s="1"/>
  <c r="K17" i="7"/>
  <c r="L17" i="7" s="1"/>
  <c r="J17" i="7"/>
  <c r="M16" i="7"/>
  <c r="N16" i="7" s="1"/>
  <c r="K16" i="7"/>
  <c r="L16" i="7" s="1"/>
  <c r="J16" i="7"/>
  <c r="M15" i="7"/>
  <c r="N15" i="7" s="1"/>
  <c r="K15" i="7"/>
  <c r="L15" i="7" s="1"/>
  <c r="J15" i="7"/>
  <c r="M14" i="7"/>
  <c r="N14" i="7" s="1"/>
  <c r="K14" i="7"/>
  <c r="L14" i="7" s="1"/>
  <c r="J14" i="7"/>
  <c r="M13" i="7"/>
  <c r="N13" i="7" s="1"/>
  <c r="K13" i="7"/>
  <c r="L13" i="7" s="1"/>
  <c r="J13" i="7"/>
  <c r="Z12" i="7"/>
  <c r="M12" i="7"/>
  <c r="N12" i="7" s="1"/>
  <c r="K12" i="7"/>
  <c r="L12" i="7" s="1"/>
  <c r="J12" i="7"/>
  <c r="M11" i="7"/>
  <c r="N11" i="7" s="1"/>
  <c r="K11" i="7"/>
  <c r="L11" i="7" s="1"/>
  <c r="J11" i="7"/>
  <c r="M10" i="7"/>
  <c r="N10" i="7" s="1"/>
  <c r="K10" i="7"/>
  <c r="L10" i="7" s="1"/>
  <c r="J10" i="7"/>
  <c r="M9" i="7"/>
  <c r="N9" i="7" s="1"/>
  <c r="K9" i="7"/>
  <c r="L9" i="7" s="1"/>
  <c r="J9" i="7"/>
  <c r="M8" i="7"/>
  <c r="N8" i="7" s="1"/>
  <c r="K8" i="7"/>
  <c r="L8" i="7" s="1"/>
  <c r="J8" i="7"/>
  <c r="Y7" i="7"/>
  <c r="M7" i="7"/>
  <c r="N7" i="7" s="1"/>
  <c r="K7" i="7"/>
  <c r="J7" i="7"/>
  <c r="M6" i="7"/>
  <c r="N6" i="7" s="1"/>
  <c r="K6" i="7"/>
  <c r="L6" i="7" s="1"/>
  <c r="J6" i="7"/>
  <c r="B6" i="7" l="1"/>
  <c r="W9" i="7"/>
  <c r="W10" i="7"/>
  <c r="C6" i="7"/>
  <c r="C7" i="7" s="1"/>
  <c r="B7" i="7" s="1"/>
  <c r="L7" i="7"/>
  <c r="O77" i="7"/>
  <c r="Q77" i="7" s="1"/>
  <c r="N34" i="7"/>
  <c r="L36" i="7"/>
  <c r="E6" i="7" l="1"/>
  <c r="E7" i="7" s="1"/>
  <c r="E8" i="7" s="1"/>
  <c r="E5" i="7"/>
  <c r="D5" i="7"/>
  <c r="C8" i="7"/>
  <c r="C9" i="7" s="1"/>
  <c r="D6" i="7" l="1"/>
  <c r="D7" i="7" s="1"/>
  <c r="P7" i="7" s="1"/>
  <c r="B8" i="7"/>
  <c r="B9" i="7" s="1"/>
  <c r="C10" i="7"/>
  <c r="E9" i="7"/>
  <c r="O6" i="7" l="1"/>
  <c r="Q6" i="7" s="1"/>
  <c r="D8" i="7"/>
  <c r="R8" i="7" s="1"/>
  <c r="T7" i="7"/>
  <c r="R7" i="7"/>
  <c r="S7" i="7"/>
  <c r="S6" i="7"/>
  <c r="R6" i="7"/>
  <c r="T6" i="7"/>
  <c r="P6" i="7"/>
  <c r="S8" i="7"/>
  <c r="C11" i="7"/>
  <c r="B10" i="7"/>
  <c r="E10" i="7"/>
  <c r="T8" i="7" l="1"/>
  <c r="P8" i="7"/>
  <c r="D9" i="7"/>
  <c r="T9" i="7" s="1"/>
  <c r="O7" i="7"/>
  <c r="Q7" i="7" s="1"/>
  <c r="I6" i="7"/>
  <c r="O8" i="7"/>
  <c r="Q8" i="7" s="1"/>
  <c r="P9" i="7"/>
  <c r="D10" i="7"/>
  <c r="T10" i="7" s="1"/>
  <c r="R9" i="7"/>
  <c r="S9" i="7"/>
  <c r="C12" i="7"/>
  <c r="B11" i="7"/>
  <c r="E11" i="7"/>
  <c r="I8" i="7" l="1"/>
  <c r="I7" i="7"/>
  <c r="R10" i="7"/>
  <c r="O9" i="7"/>
  <c r="Q9" i="7" s="1"/>
  <c r="I9" i="7" s="1"/>
  <c r="D11" i="7"/>
  <c r="D12" i="7" s="1"/>
  <c r="S10" i="7"/>
  <c r="P10" i="7"/>
  <c r="C13" i="7"/>
  <c r="B12" i="7"/>
  <c r="E12" i="7"/>
  <c r="O10" i="7" l="1"/>
  <c r="Q10" i="7" s="1"/>
  <c r="I10" i="7" s="1"/>
  <c r="S11" i="7"/>
  <c r="R11" i="7"/>
  <c r="T11" i="7"/>
  <c r="P11" i="7"/>
  <c r="C14" i="7"/>
  <c r="B13" i="7"/>
  <c r="D13" i="7"/>
  <c r="E13" i="7"/>
  <c r="T12" i="7"/>
  <c r="P12" i="7"/>
  <c r="R12" i="7"/>
  <c r="O11" i="7"/>
  <c r="S12" i="7"/>
  <c r="B14" i="7" l="1"/>
  <c r="C15" i="7"/>
  <c r="R13" i="7"/>
  <c r="T13" i="7"/>
  <c r="P13" i="7"/>
  <c r="S13" i="7"/>
  <c r="O12" i="7"/>
  <c r="Q11" i="7"/>
  <c r="I11" i="7" s="1"/>
  <c r="D14" i="7"/>
  <c r="E14" i="7"/>
  <c r="C16" i="7" l="1"/>
  <c r="B15" i="7"/>
  <c r="Q12" i="7"/>
  <c r="I12" i="7" s="1"/>
  <c r="O13" i="7"/>
  <c r="R14" i="7"/>
  <c r="T14" i="7"/>
  <c r="S14" i="7"/>
  <c r="P14" i="7"/>
  <c r="E15" i="7"/>
  <c r="D15" i="7"/>
  <c r="C17" i="7" l="1"/>
  <c r="B16" i="7"/>
  <c r="S15" i="7"/>
  <c r="T15" i="7"/>
  <c r="O14" i="7"/>
  <c r="R15" i="7"/>
  <c r="P15" i="7"/>
  <c r="E16" i="7"/>
  <c r="D16" i="7"/>
  <c r="Q13" i="7"/>
  <c r="I13" i="7" s="1"/>
  <c r="C18" i="7" l="1"/>
  <c r="B17" i="7"/>
  <c r="D17" i="7"/>
  <c r="E17" i="7"/>
  <c r="Q14" i="7"/>
  <c r="I14" i="7" s="1"/>
  <c r="S16" i="7"/>
  <c r="R16" i="7"/>
  <c r="P16" i="7"/>
  <c r="O15" i="7"/>
  <c r="T16" i="7"/>
  <c r="B18" i="7" l="1"/>
  <c r="C19" i="7"/>
  <c r="Q15" i="7"/>
  <c r="I15" i="7" s="1"/>
  <c r="E18" i="7"/>
  <c r="D18" i="7"/>
  <c r="T17" i="7"/>
  <c r="S17" i="7"/>
  <c r="O16" i="7"/>
  <c r="R17" i="7"/>
  <c r="P17" i="7"/>
  <c r="B19" i="7" l="1"/>
  <c r="C20" i="7"/>
  <c r="D19" i="7"/>
  <c r="E19" i="7"/>
  <c r="P18" i="7"/>
  <c r="R18" i="7"/>
  <c r="O17" i="7"/>
  <c r="T18" i="7"/>
  <c r="S18" i="7"/>
  <c r="Q16" i="7"/>
  <c r="I16" i="7" s="1"/>
  <c r="C21" i="7" l="1"/>
  <c r="B20" i="7"/>
  <c r="Q17" i="7"/>
  <c r="I17" i="7" s="1"/>
  <c r="E20" i="7"/>
  <c r="D20" i="7"/>
  <c r="S19" i="7"/>
  <c r="O18" i="7"/>
  <c r="R19" i="7"/>
  <c r="P19" i="7"/>
  <c r="T19" i="7"/>
  <c r="B21" i="7" l="1"/>
  <c r="C22" i="7"/>
  <c r="Q18" i="7"/>
  <c r="I18" i="7" s="1"/>
  <c r="P20" i="7"/>
  <c r="T20" i="7"/>
  <c r="R20" i="7"/>
  <c r="S20" i="7"/>
  <c r="O19" i="7"/>
  <c r="D21" i="7"/>
  <c r="E21" i="7"/>
  <c r="B22" i="7" l="1"/>
  <c r="C23" i="7"/>
  <c r="O20" i="7"/>
  <c r="S21" i="7"/>
  <c r="T21" i="7"/>
  <c r="R21" i="7"/>
  <c r="P21" i="7"/>
  <c r="Q19" i="7"/>
  <c r="I19" i="7" s="1"/>
  <c r="E22" i="7"/>
  <c r="D22" i="7"/>
  <c r="B23" i="7" l="1"/>
  <c r="C24" i="7"/>
  <c r="T22" i="7"/>
  <c r="R22" i="7"/>
  <c r="O21" i="7"/>
  <c r="S22" i="7"/>
  <c r="P22" i="7"/>
  <c r="D23" i="7"/>
  <c r="E23" i="7"/>
  <c r="Q20" i="7"/>
  <c r="I20" i="7" s="1"/>
  <c r="C25" i="7" l="1"/>
  <c r="B24" i="7"/>
  <c r="E24" i="7"/>
  <c r="D24" i="7"/>
  <c r="S23" i="7"/>
  <c r="O22" i="7"/>
  <c r="P23" i="7"/>
  <c r="R23" i="7"/>
  <c r="T23" i="7"/>
  <c r="Q21" i="7"/>
  <c r="I21" i="7" s="1"/>
  <c r="C26" i="7" l="1"/>
  <c r="B25" i="7"/>
  <c r="Q22" i="7"/>
  <c r="I22" i="7" s="1"/>
  <c r="S24" i="7"/>
  <c r="R24" i="7"/>
  <c r="T24" i="7"/>
  <c r="O23" i="7"/>
  <c r="P24" i="7"/>
  <c r="E25" i="7"/>
  <c r="D25" i="7"/>
  <c r="B26" i="7" l="1"/>
  <c r="C27" i="7"/>
  <c r="Q23" i="7"/>
  <c r="I23" i="7" s="1"/>
  <c r="P25" i="7"/>
  <c r="O24" i="7"/>
  <c r="S25" i="7"/>
  <c r="T25" i="7"/>
  <c r="R25" i="7"/>
  <c r="E26" i="7"/>
  <c r="D26" i="7"/>
  <c r="B27" i="7" l="1"/>
  <c r="C28" i="7"/>
  <c r="Q24" i="7"/>
  <c r="I24" i="7" s="1"/>
  <c r="E27" i="7"/>
  <c r="D27" i="7"/>
  <c r="R26" i="7"/>
  <c r="T26" i="7"/>
  <c r="P26" i="7"/>
  <c r="O25" i="7"/>
  <c r="S26" i="7"/>
  <c r="C29" i="7" l="1"/>
  <c r="B28" i="7"/>
  <c r="S27" i="7"/>
  <c r="T27" i="7"/>
  <c r="R27" i="7"/>
  <c r="P27" i="7"/>
  <c r="O26" i="7"/>
  <c r="E28" i="7"/>
  <c r="D28" i="7"/>
  <c r="Q25" i="7"/>
  <c r="I25" i="7" s="1"/>
  <c r="B29" i="7" l="1"/>
  <c r="C30" i="7"/>
  <c r="S28" i="7"/>
  <c r="R28" i="7"/>
  <c r="P28" i="7"/>
  <c r="O27" i="7"/>
  <c r="T28" i="7"/>
  <c r="E29" i="7"/>
  <c r="D29" i="7"/>
  <c r="Q26" i="7"/>
  <c r="I26" i="7" s="1"/>
  <c r="B30" i="7" l="1"/>
  <c r="C31" i="7"/>
  <c r="E30" i="7"/>
  <c r="D30" i="7"/>
  <c r="Q27" i="7"/>
  <c r="I27" i="7" s="1"/>
  <c r="R29" i="7"/>
  <c r="T29" i="7"/>
  <c r="S29" i="7"/>
  <c r="P29" i="7"/>
  <c r="O28" i="7"/>
  <c r="B31" i="7" l="1"/>
  <c r="C32" i="7"/>
  <c r="Q28" i="7"/>
  <c r="I28" i="7" s="1"/>
  <c r="S30" i="7"/>
  <c r="P30" i="7"/>
  <c r="O29" i="7"/>
  <c r="T30" i="7"/>
  <c r="R30" i="7"/>
  <c r="E31" i="7"/>
  <c r="D31" i="7"/>
  <c r="C33" i="7" l="1"/>
  <c r="B32" i="7"/>
  <c r="Q29" i="7"/>
  <c r="I29" i="7" s="1"/>
  <c r="R31" i="7"/>
  <c r="S31" i="7"/>
  <c r="T31" i="7"/>
  <c r="P31" i="7"/>
  <c r="O30" i="7"/>
  <c r="E32" i="7"/>
  <c r="D32" i="7"/>
  <c r="C34" i="7" l="1"/>
  <c r="B33" i="7"/>
  <c r="E33" i="7"/>
  <c r="D33" i="7"/>
  <c r="Q30" i="7"/>
  <c r="I30" i="7" s="1"/>
  <c r="P32" i="7"/>
  <c r="O31" i="7"/>
  <c r="R32" i="7"/>
  <c r="T32" i="7"/>
  <c r="S32" i="7"/>
  <c r="B34" i="7" l="1"/>
  <c r="C35" i="7"/>
  <c r="P33" i="7"/>
  <c r="O32" i="7"/>
  <c r="T33" i="7"/>
  <c r="S33" i="7"/>
  <c r="R33" i="7"/>
  <c r="Q31" i="7"/>
  <c r="I31" i="7" s="1"/>
  <c r="E34" i="7"/>
  <c r="D34" i="7"/>
  <c r="B35" i="7" l="1"/>
  <c r="C36" i="7"/>
  <c r="Q32" i="7"/>
  <c r="I32" i="7" s="1"/>
  <c r="T34" i="7"/>
  <c r="P34" i="7"/>
  <c r="O33" i="7"/>
  <c r="S34" i="7"/>
  <c r="R34" i="7"/>
  <c r="E35" i="7"/>
  <c r="D35" i="7"/>
  <c r="C37" i="7" l="1"/>
  <c r="B36" i="7"/>
  <c r="D36" i="7"/>
  <c r="E36" i="7"/>
  <c r="Q33" i="7"/>
  <c r="I33" i="7" s="1"/>
  <c r="R35" i="7"/>
  <c r="S35" i="7"/>
  <c r="P35" i="7"/>
  <c r="O34" i="7"/>
  <c r="T35" i="7"/>
  <c r="B37" i="7" l="1"/>
  <c r="C38" i="7"/>
  <c r="Q34" i="7"/>
  <c r="I34" i="7" s="1"/>
  <c r="D37" i="7"/>
  <c r="E37" i="7"/>
  <c r="T36" i="7"/>
  <c r="P36" i="7"/>
  <c r="R36" i="7"/>
  <c r="O35" i="7"/>
  <c r="S36" i="7"/>
  <c r="C39" i="7" l="1"/>
  <c r="B38" i="7"/>
  <c r="D38" i="7"/>
  <c r="E38" i="7"/>
  <c r="T37" i="7"/>
  <c r="O36" i="7"/>
  <c r="R37" i="7"/>
  <c r="S37" i="7"/>
  <c r="P37" i="7"/>
  <c r="Q35" i="7"/>
  <c r="I35" i="7" s="1"/>
  <c r="C40" i="7" l="1"/>
  <c r="B39" i="7"/>
  <c r="Q36" i="7"/>
  <c r="I36" i="7" s="1"/>
  <c r="D39" i="7"/>
  <c r="E39" i="7"/>
  <c r="O37" i="7"/>
  <c r="P38" i="7"/>
  <c r="S38" i="7"/>
  <c r="R38" i="7"/>
  <c r="T38" i="7"/>
  <c r="C41" i="7" l="1"/>
  <c r="B40" i="7"/>
  <c r="Q37" i="7"/>
  <c r="I37" i="7" s="1"/>
  <c r="D40" i="7"/>
  <c r="E40" i="7"/>
  <c r="P39" i="7"/>
  <c r="S39" i="7"/>
  <c r="R39" i="7"/>
  <c r="O38" i="7"/>
  <c r="T39" i="7"/>
  <c r="C42" i="7" l="1"/>
  <c r="B41" i="7"/>
  <c r="E41" i="7"/>
  <c r="D41" i="7"/>
  <c r="R40" i="7"/>
  <c r="P40" i="7"/>
  <c r="S40" i="7"/>
  <c r="T40" i="7"/>
  <c r="O39" i="7"/>
  <c r="Q38" i="7"/>
  <c r="I38" i="7" s="1"/>
  <c r="B42" i="7" l="1"/>
  <c r="C43" i="7"/>
  <c r="Q39" i="7"/>
  <c r="I39" i="7" s="1"/>
  <c r="O40" i="7"/>
  <c r="P41" i="7"/>
  <c r="T41" i="7"/>
  <c r="S41" i="7"/>
  <c r="R41" i="7"/>
  <c r="E42" i="7"/>
  <c r="D42" i="7"/>
  <c r="C44" i="7" l="1"/>
  <c r="B43" i="7"/>
  <c r="Q40" i="7"/>
  <c r="I40" i="7" s="1"/>
  <c r="R42" i="7"/>
  <c r="T42" i="7"/>
  <c r="S42" i="7"/>
  <c r="O41" i="7"/>
  <c r="P42" i="7"/>
  <c r="E43" i="7"/>
  <c r="D43" i="7"/>
  <c r="B44" i="7" l="1"/>
  <c r="C45" i="7"/>
  <c r="Q41" i="7"/>
  <c r="I41" i="7" s="1"/>
  <c r="E44" i="7"/>
  <c r="D44" i="7"/>
  <c r="P43" i="7"/>
  <c r="T43" i="7"/>
  <c r="O42" i="7"/>
  <c r="R43" i="7"/>
  <c r="S43" i="7"/>
  <c r="C46" i="7" l="1"/>
  <c r="B45" i="7"/>
  <c r="E45" i="7"/>
  <c r="D45" i="7"/>
  <c r="S44" i="7"/>
  <c r="O43" i="7"/>
  <c r="R44" i="7"/>
  <c r="P44" i="7"/>
  <c r="T44" i="7"/>
  <c r="Q42" i="7"/>
  <c r="I42" i="7" s="1"/>
  <c r="B46" i="7" l="1"/>
  <c r="C47" i="7"/>
  <c r="Q43" i="7"/>
  <c r="I43" i="7" s="1"/>
  <c r="T45" i="7"/>
  <c r="O44" i="7"/>
  <c r="R45" i="7"/>
  <c r="P45" i="7"/>
  <c r="S45" i="7"/>
  <c r="E46" i="7"/>
  <c r="D46" i="7"/>
  <c r="C48" i="7" l="1"/>
  <c r="B47" i="7"/>
  <c r="Q44" i="7"/>
  <c r="I44" i="7" s="1"/>
  <c r="O45" i="7"/>
  <c r="R46" i="7"/>
  <c r="P46" i="7"/>
  <c r="T46" i="7"/>
  <c r="S46" i="7"/>
  <c r="E47" i="7"/>
  <c r="D47" i="7"/>
  <c r="C49" i="7" l="1"/>
  <c r="B48" i="7"/>
  <c r="O46" i="7"/>
  <c r="R47" i="7"/>
  <c r="P47" i="7"/>
  <c r="T47" i="7"/>
  <c r="S47" i="7"/>
  <c r="Q45" i="7"/>
  <c r="I45" i="7" s="1"/>
  <c r="E48" i="7"/>
  <c r="D48" i="7"/>
  <c r="C50" i="7" l="1"/>
  <c r="B49" i="7"/>
  <c r="O47" i="7"/>
  <c r="P48" i="7"/>
  <c r="R48" i="7"/>
  <c r="T48" i="7"/>
  <c r="S48" i="7"/>
  <c r="E49" i="7"/>
  <c r="D49" i="7"/>
  <c r="Q46" i="7"/>
  <c r="I46" i="7" s="1"/>
  <c r="C51" i="7" l="1"/>
  <c r="B50" i="7"/>
  <c r="E50" i="7"/>
  <c r="D50" i="7"/>
  <c r="Q47" i="7"/>
  <c r="I47" i="7" s="1"/>
  <c r="O48" i="7"/>
  <c r="R49" i="7"/>
  <c r="T49" i="7"/>
  <c r="S49" i="7"/>
  <c r="P49" i="7"/>
  <c r="B51" i="7" l="1"/>
  <c r="C52" i="7"/>
  <c r="Q48" i="7"/>
  <c r="I48" i="7" s="1"/>
  <c r="P50" i="7"/>
  <c r="T50" i="7"/>
  <c r="S50" i="7"/>
  <c r="O49" i="7"/>
  <c r="R50" i="7"/>
  <c r="E51" i="7"/>
  <c r="D51" i="7"/>
  <c r="C53" i="7" l="1"/>
  <c r="B52" i="7"/>
  <c r="Q49" i="7"/>
  <c r="I49" i="7" s="1"/>
  <c r="P51" i="7"/>
  <c r="S51" i="7"/>
  <c r="O50" i="7"/>
  <c r="R51" i="7"/>
  <c r="T51" i="7"/>
  <c r="E52" i="7"/>
  <c r="D52" i="7"/>
  <c r="C54" i="7" l="1"/>
  <c r="B53" i="7"/>
  <c r="Q50" i="7"/>
  <c r="I50" i="7" s="1"/>
  <c r="T52" i="7"/>
  <c r="O51" i="7"/>
  <c r="R52" i="7"/>
  <c r="P52" i="7"/>
  <c r="S52" i="7"/>
  <c r="E53" i="7"/>
  <c r="D53" i="7"/>
  <c r="B54" i="7" l="1"/>
  <c r="C55" i="7"/>
  <c r="T53" i="7"/>
  <c r="S53" i="7"/>
  <c r="O52" i="7"/>
  <c r="R53" i="7"/>
  <c r="P53" i="7"/>
  <c r="E54" i="7"/>
  <c r="D54" i="7"/>
  <c r="Q51" i="7"/>
  <c r="I51" i="7" s="1"/>
  <c r="C56" i="7" l="1"/>
  <c r="B55" i="7"/>
  <c r="E55" i="7"/>
  <c r="D55" i="7"/>
  <c r="Q52" i="7"/>
  <c r="I52" i="7" s="1"/>
  <c r="O53" i="7"/>
  <c r="R54" i="7"/>
  <c r="P54" i="7"/>
  <c r="T54" i="7"/>
  <c r="S54" i="7"/>
  <c r="C57" i="7" l="1"/>
  <c r="B56" i="7"/>
  <c r="R55" i="7"/>
  <c r="P55" i="7"/>
  <c r="S55" i="7"/>
  <c r="T55" i="7"/>
  <c r="O54" i="7"/>
  <c r="Q53" i="7"/>
  <c r="I53" i="7" s="1"/>
  <c r="E56" i="7"/>
  <c r="D56" i="7"/>
  <c r="B57" i="7" l="1"/>
  <c r="C58" i="7"/>
  <c r="Q54" i="7"/>
  <c r="I54" i="7" s="1"/>
  <c r="P56" i="7"/>
  <c r="S56" i="7"/>
  <c r="T56" i="7"/>
  <c r="R56" i="7"/>
  <c r="O55" i="7"/>
  <c r="E57" i="7"/>
  <c r="D57" i="7"/>
  <c r="C59" i="7" l="1"/>
  <c r="B58" i="7"/>
  <c r="E58" i="7"/>
  <c r="D58" i="7"/>
  <c r="Q55" i="7"/>
  <c r="I55" i="7" s="1"/>
  <c r="P57" i="7"/>
  <c r="T57" i="7"/>
  <c r="S57" i="7"/>
  <c r="O56" i="7"/>
  <c r="R57" i="7"/>
  <c r="C60" i="7" l="1"/>
  <c r="B59" i="7"/>
  <c r="Q56" i="7"/>
  <c r="I56" i="7" s="1"/>
  <c r="R58" i="7"/>
  <c r="T58" i="7"/>
  <c r="S58" i="7"/>
  <c r="O57" i="7"/>
  <c r="P58" i="7"/>
  <c r="E59" i="7"/>
  <c r="D59" i="7"/>
  <c r="C61" i="7" l="1"/>
  <c r="B60" i="7"/>
  <c r="Q57" i="7"/>
  <c r="I57" i="7" s="1"/>
  <c r="P59" i="7"/>
  <c r="T59" i="7"/>
  <c r="O58" i="7"/>
  <c r="R59" i="7"/>
  <c r="S59" i="7"/>
  <c r="E60" i="7"/>
  <c r="D60" i="7"/>
  <c r="C62" i="7" l="1"/>
  <c r="B61" i="7"/>
  <c r="E61" i="7"/>
  <c r="D61" i="7"/>
  <c r="Q58" i="7"/>
  <c r="I58" i="7" s="1"/>
  <c r="S60" i="7"/>
  <c r="O59" i="7"/>
  <c r="R60" i="7"/>
  <c r="P60" i="7"/>
  <c r="T60" i="7"/>
  <c r="C63" i="7" l="1"/>
  <c r="B62" i="7"/>
  <c r="Q59" i="7"/>
  <c r="I59" i="7" s="1"/>
  <c r="T61" i="7"/>
  <c r="S61" i="7"/>
  <c r="R61" i="7"/>
  <c r="O60" i="7"/>
  <c r="P61" i="7"/>
  <c r="E62" i="7"/>
  <c r="D62" i="7"/>
  <c r="B63" i="7" l="1"/>
  <c r="C64" i="7"/>
  <c r="O61" i="7"/>
  <c r="R62" i="7"/>
  <c r="P62" i="7"/>
  <c r="T62" i="7"/>
  <c r="S62" i="7"/>
  <c r="E63" i="7"/>
  <c r="D63" i="7"/>
  <c r="Q60" i="7"/>
  <c r="I60" i="7" s="1"/>
  <c r="C65" i="7" l="1"/>
  <c r="B64" i="7"/>
  <c r="E64" i="7"/>
  <c r="D64" i="7"/>
  <c r="R63" i="7"/>
  <c r="P63" i="7"/>
  <c r="T63" i="7"/>
  <c r="S63" i="7"/>
  <c r="O62" i="7"/>
  <c r="Q61" i="7"/>
  <c r="I61" i="7" s="1"/>
  <c r="B65" i="7" l="1"/>
  <c r="C66" i="7"/>
  <c r="O63" i="7"/>
  <c r="P64" i="7"/>
  <c r="S64" i="7"/>
  <c r="T64" i="7"/>
  <c r="R64" i="7"/>
  <c r="Q62" i="7"/>
  <c r="I62" i="7" s="1"/>
  <c r="E65" i="7"/>
  <c r="D65" i="7"/>
  <c r="C67" i="7" l="1"/>
  <c r="B66" i="7"/>
  <c r="Q63" i="7"/>
  <c r="I63" i="7" s="1"/>
  <c r="O64" i="7"/>
  <c r="R65" i="7"/>
  <c r="T65" i="7"/>
  <c r="S65" i="7"/>
  <c r="P65" i="7"/>
  <c r="E66" i="7"/>
  <c r="D66" i="7"/>
  <c r="C68" i="7" l="1"/>
  <c r="B67" i="7"/>
  <c r="E67" i="7"/>
  <c r="D67" i="7"/>
  <c r="Q64" i="7"/>
  <c r="I64" i="7" s="1"/>
  <c r="P66" i="7"/>
  <c r="T66" i="7"/>
  <c r="S66" i="7"/>
  <c r="O65" i="7"/>
  <c r="R66" i="7"/>
  <c r="B68" i="7" l="1"/>
  <c r="C69" i="7"/>
  <c r="Q65" i="7"/>
  <c r="I65" i="7" s="1"/>
  <c r="P67" i="7"/>
  <c r="S67" i="7"/>
  <c r="O66" i="7"/>
  <c r="R67" i="7"/>
  <c r="T67" i="7"/>
  <c r="E68" i="7"/>
  <c r="D68" i="7"/>
  <c r="C70" i="7" l="1"/>
  <c r="B69" i="7"/>
  <c r="W22" i="7"/>
  <c r="AC22" i="7" s="1"/>
  <c r="W15" i="7"/>
  <c r="W19" i="7"/>
  <c r="AC19" i="7" s="1"/>
  <c r="W20" i="7"/>
  <c r="AC20" i="7" s="1"/>
  <c r="W16" i="7"/>
  <c r="AC16" i="7" s="1"/>
  <c r="W18" i="7"/>
  <c r="AC18" i="7" s="1"/>
  <c r="W17" i="7"/>
  <c r="AC17" i="7" s="1"/>
  <c r="W21" i="7"/>
  <c r="AC21" i="7" s="1"/>
  <c r="Q66" i="7"/>
  <c r="I66" i="7" s="1"/>
  <c r="T68" i="7"/>
  <c r="O67" i="7"/>
  <c r="R68" i="7"/>
  <c r="P68" i="7"/>
  <c r="S68" i="7"/>
  <c r="E69" i="7"/>
  <c r="D69" i="7"/>
  <c r="C71" i="7" l="1"/>
  <c r="B70" i="7"/>
  <c r="E70" i="7"/>
  <c r="D70" i="7"/>
  <c r="Q67" i="7"/>
  <c r="I67" i="7" s="1"/>
  <c r="W23" i="7"/>
  <c r="AC15" i="7"/>
  <c r="AC23" i="7" s="1"/>
  <c r="T69" i="7"/>
  <c r="O68" i="7"/>
  <c r="P69" i="7"/>
  <c r="R69" i="7"/>
  <c r="S69" i="7"/>
  <c r="C72" i="7" l="1"/>
  <c r="B71" i="7"/>
  <c r="Q68" i="7"/>
  <c r="I68" i="7" s="1"/>
  <c r="O69" i="7"/>
  <c r="R70" i="7"/>
  <c r="P70" i="7"/>
  <c r="T70" i="7"/>
  <c r="S70" i="7"/>
  <c r="E71" i="7"/>
  <c r="D71" i="7"/>
  <c r="C73" i="7" l="1"/>
  <c r="B72" i="7"/>
  <c r="Q69" i="7"/>
  <c r="I69" i="7" s="1"/>
  <c r="R71" i="7"/>
  <c r="P71" i="7"/>
  <c r="S71" i="7"/>
  <c r="T71" i="7"/>
  <c r="O70" i="7"/>
  <c r="E72" i="7"/>
  <c r="D72" i="7"/>
  <c r="C74" i="7" l="1"/>
  <c r="B73" i="7"/>
  <c r="E73" i="7"/>
  <c r="D73" i="7"/>
  <c r="Q70" i="7"/>
  <c r="I70" i="7" s="1"/>
  <c r="O71" i="7"/>
  <c r="R72" i="7"/>
  <c r="P72" i="7"/>
  <c r="T72" i="7"/>
  <c r="S72" i="7"/>
  <c r="B74" i="7" l="1"/>
  <c r="C75" i="7"/>
  <c r="Q71" i="7"/>
  <c r="I71" i="7" s="1"/>
  <c r="O72" i="7"/>
  <c r="P73" i="7"/>
  <c r="T73" i="7"/>
  <c r="S73" i="7"/>
  <c r="R73" i="7"/>
  <c r="E74" i="7"/>
  <c r="D74" i="7"/>
  <c r="B75" i="7" l="1"/>
  <c r="C76" i="7"/>
  <c r="R74" i="7"/>
  <c r="T74" i="7"/>
  <c r="S74" i="7"/>
  <c r="O73" i="7"/>
  <c r="P74" i="7"/>
  <c r="Q72" i="7"/>
  <c r="I72" i="7" s="1"/>
  <c r="E75" i="7"/>
  <c r="D75" i="7"/>
  <c r="C77" i="7" l="1"/>
  <c r="B76" i="7"/>
  <c r="E76" i="7"/>
  <c r="D76" i="7"/>
  <c r="Q73" i="7"/>
  <c r="I73" i="7" s="1"/>
  <c r="P75" i="7"/>
  <c r="T75" i="7"/>
  <c r="O74" i="7"/>
  <c r="R75" i="7"/>
  <c r="S75" i="7"/>
  <c r="B77" i="7" l="1"/>
  <c r="Q74" i="7"/>
  <c r="I74" i="7" s="1"/>
  <c r="S76" i="7"/>
  <c r="R76" i="7"/>
  <c r="O75" i="7"/>
  <c r="P76" i="7"/>
  <c r="T76" i="7"/>
  <c r="E77" i="7"/>
  <c r="D77" i="7"/>
  <c r="Q75" i="7" l="1"/>
  <c r="I75" i="7" s="1"/>
  <c r="T77" i="7"/>
  <c r="S77" i="7"/>
  <c r="R77" i="7"/>
  <c r="O76" i="7"/>
  <c r="P77" i="7"/>
  <c r="I77" i="7" l="1"/>
  <c r="Q76" i="7"/>
  <c r="I76" i="7" s="1"/>
  <c r="K51" i="1" l="1"/>
  <c r="K20" i="1"/>
  <c r="I20" i="1"/>
  <c r="F56" i="1"/>
  <c r="F55" i="1"/>
  <c r="F26" i="1" l="1"/>
  <c r="F24" i="1"/>
  <c r="D17" i="1"/>
  <c r="D71" i="5"/>
  <c r="G77" i="5" s="1"/>
  <c r="E76" i="5"/>
  <c r="C76" i="5"/>
  <c r="D68" i="5"/>
  <c r="D67" i="5"/>
  <c r="D66" i="5"/>
  <c r="F71" i="5"/>
  <c r="E77" i="5" s="1"/>
  <c r="F69" i="5"/>
  <c r="C77" i="5" s="1"/>
  <c r="E68" i="5"/>
  <c r="J61" i="5"/>
  <c r="C86" i="1"/>
  <c r="C90" i="1"/>
  <c r="C82" i="1"/>
  <c r="G90" i="1"/>
  <c r="F46" i="5"/>
  <c r="E52" i="5" s="1"/>
  <c r="E46" i="5"/>
  <c r="E51" i="5" s="1"/>
  <c r="F44" i="5"/>
  <c r="C52" i="5" s="1"/>
  <c r="E43" i="5"/>
  <c r="E42" i="5"/>
  <c r="E41" i="5"/>
  <c r="C51" i="5" s="1"/>
  <c r="I36" i="5"/>
  <c r="J36" i="5" s="1"/>
  <c r="F57" i="1"/>
  <c r="C46" i="1"/>
  <c r="I50" i="1"/>
  <c r="I51" i="1" s="1"/>
  <c r="H12" i="5"/>
  <c r="I12" i="5" s="1"/>
  <c r="J12" i="5" s="1"/>
  <c r="E17" i="5"/>
  <c r="C27" i="5" s="1"/>
  <c r="E19" i="5"/>
  <c r="E18" i="5"/>
  <c r="F22" i="5"/>
  <c r="E28" i="5" s="1"/>
  <c r="F20" i="5"/>
  <c r="C28" i="5" s="1"/>
  <c r="E22" i="5"/>
  <c r="G28" i="5" s="1"/>
  <c r="C72" i="1" l="1"/>
  <c r="G51" i="1"/>
  <c r="C78" i="5"/>
  <c r="G52" i="5"/>
  <c r="C53" i="5" s="1"/>
  <c r="E27" i="5"/>
  <c r="C29" i="5" s="1"/>
  <c r="F58" i="1"/>
  <c r="Z22" i="4"/>
  <c r="Z21" i="4"/>
  <c r="E52" i="1" l="1"/>
  <c r="E51" i="1" s="1"/>
  <c r="G50" i="1"/>
  <c r="F60" i="1"/>
  <c r="F59" i="1"/>
  <c r="F28" i="1"/>
  <c r="E82" i="1"/>
  <c r="E86" i="1" l="1"/>
  <c r="G86" i="1" s="1"/>
  <c r="G82" i="1"/>
  <c r="E50" i="1"/>
  <c r="C51" i="1" s="1"/>
  <c r="F30" i="1"/>
  <c r="C13" i="1"/>
  <c r="F31" i="1" l="1"/>
  <c r="E90" i="1"/>
  <c r="E93" i="1" s="1"/>
  <c r="C38" i="1"/>
  <c r="C66" i="1"/>
  <c r="C74" i="1" s="1"/>
  <c r="C63" i="1"/>
  <c r="F32" i="1"/>
  <c r="G93" i="1"/>
  <c r="E72" i="1" l="1"/>
  <c r="G74" i="1"/>
  <c r="E21" i="1"/>
  <c r="G20" i="1"/>
  <c r="G19" i="1"/>
  <c r="G21" i="1" l="1"/>
  <c r="AE3" i="4" s="1"/>
  <c r="AE6" i="4" s="1"/>
  <c r="E20" i="1"/>
  <c r="E19" i="1"/>
  <c r="C20" i="1" s="1"/>
  <c r="C35" i="1" l="1"/>
  <c r="E38" i="1" l="1"/>
  <c r="G38" i="1" s="1"/>
  <c r="C69" i="1"/>
  <c r="E74" i="1" s="1"/>
  <c r="C76" i="1" l="1"/>
  <c r="D96" i="1" s="1"/>
  <c r="AE4" i="4" s="1"/>
  <c r="AE24" i="4" l="1"/>
  <c r="AE26" i="4" s="1"/>
  <c r="D47" i="4" l="1"/>
  <c r="AE47" i="4" s="1"/>
  <c r="D42" i="4"/>
  <c r="AE42" i="4" s="1"/>
  <c r="D30" i="4"/>
  <c r="Q30" i="4"/>
  <c r="L30" i="4"/>
  <c r="E101" i="1" l="1"/>
  <c r="E102" i="1"/>
  <c r="AE30" i="4"/>
  <c r="AE51" i="4" s="1"/>
  <c r="E100" i="1" l="1"/>
  <c r="E104" i="1" s="1"/>
</calcChain>
</file>

<file path=xl/comments1.xml><?xml version="1.0" encoding="utf-8"?>
<comments xmlns="http://schemas.openxmlformats.org/spreadsheetml/2006/main">
  <authors>
    <author>市川 新吾</author>
  </authors>
  <commentList>
    <comment ref="I19" authorId="0" shapeId="0">
      <text>
        <r>
          <rPr>
            <sz val="9"/>
            <color indexed="81"/>
            <rFont val="MS P ゴシック"/>
            <family val="3"/>
            <charset val="128"/>
          </rPr>
          <t>通算されるべき前歴がある場合は、その前歴の始めの年月日を入力してください。</t>
        </r>
      </text>
    </comment>
    <comment ref="G21" authorId="0" shapeId="0">
      <text>
        <r>
          <rPr>
            <sz val="9"/>
            <color indexed="81"/>
            <rFont val="MS P ゴシック"/>
            <family val="3"/>
            <charset val="128"/>
          </rPr>
          <t>税法上、１年未満の端数切り上げ
休職期間等は除算しない（ただし専従休職は全期間除算）</t>
        </r>
      </text>
    </comment>
    <comment ref="K50" authorId="0" shapeId="0">
      <text>
        <r>
          <rPr>
            <sz val="9"/>
            <color indexed="81"/>
            <rFont val="MS P ゴシック"/>
            <family val="3"/>
            <charset val="128"/>
          </rPr>
          <t>減額日</t>
        </r>
        <r>
          <rPr>
            <sz val="8"/>
            <color indexed="81"/>
            <rFont val="MS P ゴシック"/>
            <family val="3"/>
            <charset val="128"/>
          </rPr>
          <t>※</t>
        </r>
        <r>
          <rPr>
            <sz val="9"/>
            <color indexed="81"/>
            <rFont val="MS P ゴシック"/>
            <family val="3"/>
            <charset val="128"/>
          </rPr>
          <t xml:space="preserve">前日の年月日を入力してください。
</t>
        </r>
        <r>
          <rPr>
            <sz val="8"/>
            <color indexed="81"/>
            <rFont val="MS P ゴシック"/>
            <family val="3"/>
            <charset val="128"/>
          </rPr>
          <t>※（ピーク直後の給料発令日（給料の調整額等がなくなった場合も含む））</t>
        </r>
      </text>
    </comment>
  </commentList>
</comments>
</file>

<file path=xl/comments2.xml><?xml version="1.0" encoding="utf-8"?>
<comments xmlns="http://schemas.openxmlformats.org/spreadsheetml/2006/main">
  <authors>
    <author>市川 新吾</author>
  </authors>
  <commentList>
    <comment ref="AE3" authorId="0" shapeId="0">
      <text>
        <r>
          <rPr>
            <sz val="9"/>
            <color indexed="81"/>
            <rFont val="MS P ゴシック"/>
            <family val="3"/>
            <charset val="128"/>
          </rPr>
          <t>税法上、１年未満の端数切り上げ
休職期間等は除算しない（ただし専従休職は全期間除算）</t>
        </r>
      </text>
    </comment>
  </commentList>
</comments>
</file>

<file path=xl/sharedStrings.xml><?xml version="1.0" encoding="utf-8"?>
<sst xmlns="http://schemas.openxmlformats.org/spreadsheetml/2006/main" count="604" uniqueCount="369">
  <si>
    <t>×</t>
    <phoneticPr fontId="4"/>
  </si>
  <si>
    <t>支給率</t>
    <rPh sb="0" eb="3">
      <t>シキュウリツ</t>
    </rPh>
    <phoneticPr fontId="4"/>
  </si>
  <si>
    <t>採用年月日</t>
    <rPh sb="0" eb="2">
      <t>サイヨウ</t>
    </rPh>
    <rPh sb="2" eb="5">
      <t>ネンガッピ</t>
    </rPh>
    <phoneticPr fontId="4"/>
  </si>
  <si>
    <t>退職年月日</t>
    <rPh sb="0" eb="2">
      <t>タイショク</t>
    </rPh>
    <rPh sb="2" eb="5">
      <t>ネンガッピ</t>
    </rPh>
    <phoneticPr fontId="4"/>
  </si>
  <si>
    <t>年</t>
    <rPh sb="0" eb="1">
      <t>ネン</t>
    </rPh>
    <phoneticPr fontId="4"/>
  </si>
  <si>
    <t>年←</t>
    <rPh sb="0" eb="1">
      <t>ネン</t>
    </rPh>
    <phoneticPr fontId="4"/>
  </si>
  <si>
    <t>月</t>
    <rPh sb="0" eb="1">
      <t>ツキ</t>
    </rPh>
    <phoneticPr fontId="4"/>
  </si>
  <si>
    <t>退職手当支給区分・支給率一覧表</t>
    <rPh sb="0" eb="2">
      <t>タイショク</t>
    </rPh>
    <rPh sb="2" eb="4">
      <t>テアテ</t>
    </rPh>
    <rPh sb="4" eb="6">
      <t>シキュウ</t>
    </rPh>
    <rPh sb="6" eb="8">
      <t>クブン</t>
    </rPh>
    <rPh sb="9" eb="12">
      <t>シキュウリツ</t>
    </rPh>
    <rPh sb="12" eb="15">
      <t>イチランヒョウ</t>
    </rPh>
    <phoneticPr fontId="8"/>
  </si>
  <si>
    <t>自己都合</t>
    <rPh sb="0" eb="2">
      <t>ジコ</t>
    </rPh>
    <rPh sb="2" eb="4">
      <t>ツゴウ</t>
    </rPh>
    <phoneticPr fontId="8"/>
  </si>
  <si>
    <t>定年等</t>
    <rPh sb="0" eb="2">
      <t>テイネン</t>
    </rPh>
    <rPh sb="2" eb="3">
      <t>トウ</t>
    </rPh>
    <phoneticPr fontId="8"/>
  </si>
  <si>
    <t>公務外傷病</t>
    <rPh sb="0" eb="2">
      <t>コウム</t>
    </rPh>
    <rPh sb="2" eb="3">
      <t>ガイ</t>
    </rPh>
    <rPh sb="3" eb="5">
      <t>ショウビョウ</t>
    </rPh>
    <phoneticPr fontId="8"/>
  </si>
  <si>
    <t>定年　勧奨</t>
    <rPh sb="0" eb="2">
      <t>テイネン</t>
    </rPh>
    <rPh sb="3" eb="5">
      <t>カンショウ</t>
    </rPh>
    <phoneticPr fontId="8"/>
  </si>
  <si>
    <t>任期満了　通勤傷病</t>
    <rPh sb="0" eb="2">
      <t>ニンキ</t>
    </rPh>
    <rPh sb="2" eb="4">
      <t>マンリョウ</t>
    </rPh>
    <rPh sb="5" eb="7">
      <t>ツウキン</t>
    </rPh>
    <rPh sb="7" eb="9">
      <t>ショウビョウ</t>
    </rPh>
    <phoneticPr fontId="8"/>
  </si>
  <si>
    <t>公務外死亡</t>
    <rPh sb="0" eb="2">
      <t>コウム</t>
    </rPh>
    <rPh sb="2" eb="3">
      <t>ガイ</t>
    </rPh>
    <rPh sb="3" eb="5">
      <t>シボウ</t>
    </rPh>
    <phoneticPr fontId="8"/>
  </si>
  <si>
    <t>定年</t>
    <rPh sb="0" eb="2">
      <t>テイネン</t>
    </rPh>
    <phoneticPr fontId="8"/>
  </si>
  <si>
    <t>任期満了</t>
    <rPh sb="0" eb="2">
      <t>ニンキ</t>
    </rPh>
    <rPh sb="2" eb="4">
      <t>マンリョウ</t>
    </rPh>
    <phoneticPr fontId="8"/>
  </si>
  <si>
    <t>通勤傷病</t>
    <phoneticPr fontId="4"/>
  </si>
  <si>
    <t>=</t>
    <phoneticPr fontId="4"/>
  </si>
  <si>
    <t>①基本額の計算</t>
    <rPh sb="1" eb="4">
      <t>キホンガク</t>
    </rPh>
    <rPh sb="5" eb="7">
      <t>ケイサン</t>
    </rPh>
    <phoneticPr fontId="4"/>
  </si>
  <si>
    <t>給料表上の給料月額</t>
    <rPh sb="0" eb="3">
      <t>キュウリョウヒョウ</t>
    </rPh>
    <rPh sb="3" eb="4">
      <t>ジョウ</t>
    </rPh>
    <rPh sb="5" eb="7">
      <t>キュウリョウ</t>
    </rPh>
    <rPh sb="7" eb="9">
      <t>ゲツガク</t>
    </rPh>
    <phoneticPr fontId="4"/>
  </si>
  <si>
    <t>②調整額の計算</t>
    <rPh sb="1" eb="4">
      <t>チョウセイガク</t>
    </rPh>
    <rPh sb="5" eb="7">
      <t>ケイサン</t>
    </rPh>
    <phoneticPr fontId="4"/>
  </si>
  <si>
    <t>①基本額</t>
    <rPh sb="1" eb="4">
      <t>キホンガク</t>
    </rPh>
    <phoneticPr fontId="4"/>
  </si>
  <si>
    <t>平成18年４月１日以降</t>
    <rPh sb="0" eb="2">
      <t>ヘイセイ</t>
    </rPh>
    <rPh sb="4" eb="5">
      <t>ネン</t>
    </rPh>
    <rPh sb="6" eb="7">
      <t>ガツ</t>
    </rPh>
    <rPh sb="8" eb="9">
      <t>ニチ</t>
    </rPh>
    <rPh sb="9" eb="11">
      <t>イコウ</t>
    </rPh>
    <phoneticPr fontId="8"/>
  </si>
  <si>
    <t>退職手当の調整額適用表</t>
    <rPh sb="0" eb="2">
      <t>タイショク</t>
    </rPh>
    <rPh sb="2" eb="4">
      <t>テアテ</t>
    </rPh>
    <rPh sb="5" eb="8">
      <t>チョウセイガク</t>
    </rPh>
    <rPh sb="8" eb="10">
      <t>テキヨウ</t>
    </rPh>
    <rPh sb="10" eb="11">
      <t>ヒョウ</t>
    </rPh>
    <phoneticPr fontId="8"/>
  </si>
  <si>
    <t>調　整　額</t>
    <rPh sb="0" eb="1">
      <t>チョウ</t>
    </rPh>
    <rPh sb="2" eb="3">
      <t>ヒトシ</t>
    </rPh>
    <rPh sb="4" eb="5">
      <t>ガク</t>
    </rPh>
    <phoneticPr fontId="8"/>
  </si>
  <si>
    <t>教　育　職</t>
    <rPh sb="0" eb="1">
      <t>キョウ</t>
    </rPh>
    <rPh sb="2" eb="3">
      <t>イク</t>
    </rPh>
    <rPh sb="4" eb="5">
      <t>ショク</t>
    </rPh>
    <phoneticPr fontId="8"/>
  </si>
  <si>
    <t>研　究　職</t>
    <rPh sb="0" eb="1">
      <t>ケン</t>
    </rPh>
    <rPh sb="2" eb="3">
      <t>キワム</t>
    </rPh>
    <rPh sb="4" eb="5">
      <t>ショク</t>
    </rPh>
    <phoneticPr fontId="8"/>
  </si>
  <si>
    <t>医　療　職
給　料　表
（二）</t>
    <rPh sb="0" eb="1">
      <t>イ</t>
    </rPh>
    <rPh sb="2" eb="3">
      <t>リョウ</t>
    </rPh>
    <rPh sb="4" eb="5">
      <t>ショク</t>
    </rPh>
    <rPh sb="6" eb="7">
      <t>キュウ</t>
    </rPh>
    <rPh sb="8" eb="9">
      <t>リョウ</t>
    </rPh>
    <rPh sb="10" eb="11">
      <t>ヒョウ</t>
    </rPh>
    <rPh sb="13" eb="14">
      <t>ニ</t>
    </rPh>
    <phoneticPr fontId="8"/>
  </si>
  <si>
    <t>技能労務職給料表</t>
    <rPh sb="0" eb="2">
      <t>ギノウ</t>
    </rPh>
    <rPh sb="2" eb="4">
      <t>ロウム</t>
    </rPh>
    <rPh sb="4" eb="5">
      <t>ショク</t>
    </rPh>
    <rPh sb="5" eb="8">
      <t>キュウリョウヒョウ</t>
    </rPh>
    <phoneticPr fontId="8"/>
  </si>
  <si>
    <t>給　料　表</t>
    <rPh sb="0" eb="1">
      <t>キュウ</t>
    </rPh>
    <rPh sb="2" eb="3">
      <t>リョウ</t>
    </rPh>
    <rPh sb="4" eb="5">
      <t>オモテ</t>
    </rPh>
    <phoneticPr fontId="8"/>
  </si>
  <si>
    <t>H18.4.1</t>
    <phoneticPr fontId="8"/>
  </si>
  <si>
    <t>H25.4.1以後</t>
    <rPh sb="7" eb="9">
      <t>イゴ</t>
    </rPh>
    <phoneticPr fontId="8"/>
  </si>
  <si>
    <t>前</t>
    <rPh sb="0" eb="1">
      <t>マエ</t>
    </rPh>
    <phoneticPr fontId="8"/>
  </si>
  <si>
    <t>以後</t>
    <rPh sb="0" eb="2">
      <t>イゴ</t>
    </rPh>
    <phoneticPr fontId="8"/>
  </si>
  <si>
    <t>以　　　後</t>
    <rPh sb="0" eb="1">
      <t>イ</t>
    </rPh>
    <rPh sb="4" eb="5">
      <t>アト</t>
    </rPh>
    <phoneticPr fontId="8"/>
  </si>
  <si>
    <t>区 分</t>
    <rPh sb="0" eb="1">
      <t>ク</t>
    </rPh>
    <rPh sb="2" eb="3">
      <t>ブン</t>
    </rPh>
    <phoneticPr fontId="8"/>
  </si>
  <si>
    <t>調整月額</t>
    <rPh sb="0" eb="2">
      <t>チョウセイ</t>
    </rPh>
    <rPh sb="2" eb="4">
      <t>ゲツガク</t>
    </rPh>
    <phoneticPr fontId="8"/>
  </si>
  <si>
    <t>級</t>
    <rPh sb="0" eb="1">
      <t>キュウ</t>
    </rPh>
    <phoneticPr fontId="8"/>
  </si>
  <si>
    <t>適用範囲</t>
    <rPh sb="0" eb="2">
      <t>テキヨウ</t>
    </rPh>
    <rPh sb="2" eb="4">
      <t>ハンイ</t>
    </rPh>
    <phoneticPr fontId="8"/>
  </si>
  <si>
    <t>号給</t>
    <rPh sb="0" eb="1">
      <t>ゴウ</t>
    </rPh>
    <phoneticPr fontId="8"/>
  </si>
  <si>
    <t>職務段階
加算20％</t>
    <rPh sb="0" eb="2">
      <t>ショクム</t>
    </rPh>
    <rPh sb="2" eb="4">
      <t>ダンカイ</t>
    </rPh>
    <rPh sb="5" eb="7">
      <t>カサン</t>
    </rPh>
    <phoneticPr fontId="8"/>
  </si>
  <si>
    <t>上記以
外の者</t>
    <rPh sb="0" eb="2">
      <t>ジョウキ</t>
    </rPh>
    <rPh sb="2" eb="3">
      <t>イ</t>
    </rPh>
    <rPh sb="4" eb="5">
      <t>ガイ</t>
    </rPh>
    <rPh sb="6" eb="7">
      <t>モノ</t>
    </rPh>
    <phoneticPr fontId="8"/>
  </si>
  <si>
    <t>９号給以上</t>
    <rPh sb="1" eb="2">
      <t>ゴウ</t>
    </rPh>
    <rPh sb="2" eb="3">
      <t>キュウ</t>
    </rPh>
    <rPh sb="3" eb="5">
      <t>イジョウ</t>
    </rPh>
    <phoneticPr fontId="8"/>
  </si>
  <si>
    <t>33号給以上</t>
    <rPh sb="2" eb="3">
      <t>ゴウ</t>
    </rPh>
    <rPh sb="3" eb="4">
      <t>キュウ</t>
    </rPh>
    <rPh sb="4" eb="6">
      <t>イジョウ</t>
    </rPh>
    <phoneticPr fontId="8"/>
  </si>
  <si>
    <t>８号給以下</t>
    <rPh sb="1" eb="2">
      <t>ゴウ</t>
    </rPh>
    <rPh sb="2" eb="3">
      <t>キュウ</t>
    </rPh>
    <rPh sb="3" eb="5">
      <t>イカ</t>
    </rPh>
    <phoneticPr fontId="8"/>
  </si>
  <si>
    <t>32号給以下</t>
    <rPh sb="2" eb="3">
      <t>ゴウ</t>
    </rPh>
    <rPh sb="4" eb="6">
      <t>イカ</t>
    </rPh>
    <phoneticPr fontId="8"/>
  </si>
  <si>
    <t>７号給以下</t>
    <rPh sb="1" eb="2">
      <t>ゴウ</t>
    </rPh>
    <rPh sb="2" eb="3">
      <t>キュウ</t>
    </rPh>
    <rPh sb="3" eb="5">
      <t>イカ</t>
    </rPh>
    <phoneticPr fontId="8"/>
  </si>
  <si>
    <t>53号給以上</t>
    <rPh sb="2" eb="3">
      <t>ゴウ</t>
    </rPh>
    <rPh sb="4" eb="6">
      <t>イジョウ</t>
    </rPh>
    <phoneticPr fontId="8"/>
  </si>
  <si>
    <t>４号給以上
６号給以下</t>
    <rPh sb="1" eb="2">
      <t>ゴウ</t>
    </rPh>
    <rPh sb="2" eb="3">
      <t>キュウ</t>
    </rPh>
    <rPh sb="3" eb="5">
      <t>イジョウ</t>
    </rPh>
    <rPh sb="7" eb="8">
      <t>ゴウ</t>
    </rPh>
    <rPh sb="8" eb="9">
      <t>キュウ</t>
    </rPh>
    <rPh sb="9" eb="11">
      <t>イカ</t>
    </rPh>
    <phoneticPr fontId="8"/>
  </si>
  <si>
    <t>17号給以上
52号給以下</t>
    <rPh sb="2" eb="3">
      <t>ゴウ</t>
    </rPh>
    <rPh sb="4" eb="6">
      <t>イジョウ</t>
    </rPh>
    <rPh sb="9" eb="11">
      <t>ゴウキュウ</t>
    </rPh>
    <rPh sb="11" eb="13">
      <t>イカ</t>
    </rPh>
    <phoneticPr fontId="8"/>
  </si>
  <si>
    <t>(3)</t>
    <phoneticPr fontId="8"/>
  </si>
  <si>
    <t>14号給以上</t>
    <rPh sb="2" eb="3">
      <t>ゴウ</t>
    </rPh>
    <rPh sb="4" eb="6">
      <t>イジョウ</t>
    </rPh>
    <phoneticPr fontId="8"/>
  </si>
  <si>
    <t>57号給以上</t>
    <rPh sb="2" eb="3">
      <t>ゴウ</t>
    </rPh>
    <rPh sb="4" eb="6">
      <t>イジョウ</t>
    </rPh>
    <phoneticPr fontId="8"/>
  </si>
  <si>
    <t>14号給以上</t>
    <rPh sb="2" eb="3">
      <t>ゴウ</t>
    </rPh>
    <rPh sb="3" eb="4">
      <t>キュウ</t>
    </rPh>
    <rPh sb="4" eb="6">
      <t>イジョウ</t>
    </rPh>
    <phoneticPr fontId="8"/>
  </si>
  <si>
    <t>57号給以上</t>
    <rPh sb="2" eb="3">
      <t>ゴウ</t>
    </rPh>
    <rPh sb="3" eb="4">
      <t>キュウ</t>
    </rPh>
    <rPh sb="4" eb="6">
      <t>イジョウ</t>
    </rPh>
    <phoneticPr fontId="8"/>
  </si>
  <si>
    <t>13号給以下</t>
    <rPh sb="2" eb="3">
      <t>ゴウ</t>
    </rPh>
    <rPh sb="3" eb="4">
      <t>キュウ</t>
    </rPh>
    <rPh sb="4" eb="6">
      <t>イカ</t>
    </rPh>
    <phoneticPr fontId="8"/>
  </si>
  <si>
    <t>56号給以下</t>
    <rPh sb="2" eb="3">
      <t>ゴウ</t>
    </rPh>
    <rPh sb="3" eb="4">
      <t>キュウ</t>
    </rPh>
    <rPh sb="4" eb="6">
      <t>イカ</t>
    </rPh>
    <phoneticPr fontId="8"/>
  </si>
  <si>
    <t>※経験年数は大学４卒を基準とし、短大２卒の場合は基準の経験年数に２年加え、高校卒の場合は基準の経験年数に４年を加える。</t>
    <rPh sb="1" eb="3">
      <t>ケイケン</t>
    </rPh>
    <rPh sb="3" eb="5">
      <t>ネンスウ</t>
    </rPh>
    <rPh sb="6" eb="8">
      <t>ダイガク</t>
    </rPh>
    <rPh sb="9" eb="10">
      <t>ソツ</t>
    </rPh>
    <rPh sb="11" eb="13">
      <t>キジュン</t>
    </rPh>
    <rPh sb="16" eb="18">
      <t>タンダイ</t>
    </rPh>
    <rPh sb="19" eb="20">
      <t>ソツ</t>
    </rPh>
    <rPh sb="21" eb="23">
      <t>バアイ</t>
    </rPh>
    <rPh sb="24" eb="26">
      <t>キジュン</t>
    </rPh>
    <rPh sb="27" eb="29">
      <t>ケイケン</t>
    </rPh>
    <rPh sb="29" eb="31">
      <t>ネンスウ</t>
    </rPh>
    <rPh sb="33" eb="34">
      <t>ネン</t>
    </rPh>
    <rPh sb="34" eb="35">
      <t>クワ</t>
    </rPh>
    <rPh sb="37" eb="40">
      <t>コウコウソツ</t>
    </rPh>
    <rPh sb="41" eb="43">
      <t>バアイ</t>
    </rPh>
    <rPh sb="44" eb="46">
      <t>キジュン</t>
    </rPh>
    <rPh sb="47" eb="49">
      <t>ケイケン</t>
    </rPh>
    <rPh sb="49" eb="51">
      <t>ネンスウ</t>
    </rPh>
    <rPh sb="53" eb="54">
      <t>ネン</t>
    </rPh>
    <rPh sb="55" eb="56">
      <t>クワ</t>
    </rPh>
    <phoneticPr fontId="8"/>
  </si>
  <si>
    <t>特別調整額20%
(２種)</t>
    <rPh sb="0" eb="2">
      <t>トクベツ</t>
    </rPh>
    <rPh sb="2" eb="5">
      <t>チョウセイガク</t>
    </rPh>
    <phoneticPr fontId="8"/>
  </si>
  <si>
    <t>特別調整額16%
(３種)</t>
    <rPh sb="2" eb="5">
      <t>チョウセイガク</t>
    </rPh>
    <phoneticPr fontId="8"/>
  </si>
  <si>
    <t>上記以外の者</t>
  </si>
  <si>
    <t>上記以外の者</t>
    <rPh sb="5" eb="6">
      <t>モノ</t>
    </rPh>
    <phoneticPr fontId="8"/>
  </si>
  <si>
    <t>職務段階加算15％</t>
    <rPh sb="0" eb="2">
      <t>ショクム</t>
    </rPh>
    <rPh sb="2" eb="4">
      <t>ダンカイ</t>
    </rPh>
    <phoneticPr fontId="8"/>
  </si>
  <si>
    <t>上記以外の者</t>
    <rPh sb="0" eb="2">
      <t>ジョウキ</t>
    </rPh>
    <rPh sb="2" eb="3">
      <t>イ</t>
    </rPh>
    <rPh sb="3" eb="4">
      <t>ガイ</t>
    </rPh>
    <rPh sb="5" eb="6">
      <t>モノ</t>
    </rPh>
    <phoneticPr fontId="8"/>
  </si>
  <si>
    <t>職務段階加算15％かつ
特別調整額14％以上
(3種又は4種)</t>
    <rPh sb="12" eb="14">
      <t>トクベツ</t>
    </rPh>
    <phoneticPr fontId="8"/>
  </si>
  <si>
    <t>上記以外の者</t>
    <rPh sb="0" eb="2">
      <t>ジョウキ</t>
    </rPh>
    <rPh sb="2" eb="4">
      <t>イガイ</t>
    </rPh>
    <phoneticPr fontId="8"/>
  </si>
  <si>
    <t>特2</t>
    <rPh sb="0" eb="1">
      <t>トク</t>
    </rPh>
    <phoneticPr fontId="8"/>
  </si>
  <si>
    <t>経験年数26年以上</t>
    <rPh sb="0" eb="2">
      <t>ケイケン</t>
    </rPh>
    <rPh sb="2" eb="4">
      <t>ネンスウ</t>
    </rPh>
    <phoneticPr fontId="8"/>
  </si>
  <si>
    <t>特別調整額12％
(５種)以上</t>
    <phoneticPr fontId="4"/>
  </si>
  <si>
    <t>職務段階加算10％かつ※経験年数35年以上
(大学4卒)</t>
    <rPh sb="0" eb="2">
      <t>ショクム</t>
    </rPh>
    <rPh sb="2" eb="4">
      <t>ダンカイ</t>
    </rPh>
    <phoneticPr fontId="8"/>
  </si>
  <si>
    <t>職務段階加算10％(※経験年数26年以上35年未満(大学4卒))</t>
    <rPh sb="0" eb="2">
      <t>ショクム</t>
    </rPh>
    <rPh sb="2" eb="4">
      <t>ダンカイ</t>
    </rPh>
    <phoneticPr fontId="8"/>
  </si>
  <si>
    <t>上記以外の者</t>
    <rPh sb="0" eb="2">
      <t>ジョウキ</t>
    </rPh>
    <rPh sb="2" eb="3">
      <t>イ</t>
    </rPh>
    <phoneticPr fontId="8"/>
  </si>
  <si>
    <t>職務段階加算５％(※経験年数９年以上26年未満(大学4卒))</t>
    <rPh sb="0" eb="2">
      <t>ショクム</t>
    </rPh>
    <rPh sb="2" eb="4">
      <t>ダンカイ</t>
    </rPh>
    <phoneticPr fontId="8"/>
  </si>
  <si>
    <t>当該号給の在級期間120月超</t>
    <phoneticPr fontId="4"/>
  </si>
  <si>
    <t>職務段階加算５％(※経験年数14年以上(大学4卒))</t>
    <rPh sb="4" eb="6">
      <t>カサン</t>
    </rPh>
    <phoneticPr fontId="8"/>
  </si>
  <si>
    <t>４号給以上６号給以下</t>
    <rPh sb="6" eb="7">
      <t>ゴウ</t>
    </rPh>
    <rPh sb="7" eb="8">
      <t>キュウ</t>
    </rPh>
    <rPh sb="8" eb="10">
      <t>イカ</t>
    </rPh>
    <phoneticPr fontId="8"/>
  </si>
  <si>
    <t>上記以外の者</t>
    <rPh sb="3" eb="4">
      <t>ソト</t>
    </rPh>
    <rPh sb="5" eb="6">
      <t>モノ</t>
    </rPh>
    <phoneticPr fontId="8"/>
  </si>
  <si>
    <t>17号給以上52号給以下</t>
    <rPh sb="8" eb="9">
      <t>ゴウ</t>
    </rPh>
    <rPh sb="9" eb="10">
      <t>キュウ</t>
    </rPh>
    <rPh sb="10" eb="12">
      <t>イカ</t>
    </rPh>
    <phoneticPr fontId="8"/>
  </si>
  <si>
    <t>３号給以下</t>
    <phoneticPr fontId="4"/>
  </si>
  <si>
    <t>16号給以下</t>
    <phoneticPr fontId="4"/>
  </si>
  <si>
    <t>上記以外の者</t>
    <phoneticPr fontId="4"/>
  </si>
  <si>
    <t>調整月額（区分）</t>
    <rPh sb="0" eb="2">
      <t>チョウセイ</t>
    </rPh>
    <rPh sb="2" eb="4">
      <t>ゲツガク</t>
    </rPh>
    <rPh sb="5" eb="7">
      <t>クブン</t>
    </rPh>
    <phoneticPr fontId="4"/>
  </si>
  <si>
    <t>月数</t>
    <rPh sb="0" eb="2">
      <t>ツキスウ</t>
    </rPh>
    <phoneticPr fontId="4"/>
  </si>
  <si>
    <t>円</t>
    <rPh sb="0" eb="1">
      <t>エン</t>
    </rPh>
    <phoneticPr fontId="4"/>
  </si>
  <si>
    <t>月</t>
    <rPh sb="0" eb="1">
      <t>ツキ</t>
    </rPh>
    <phoneticPr fontId="4"/>
  </si>
  <si>
    <t>調整額（１）</t>
    <rPh sb="0" eb="3">
      <t>チョウセイガク</t>
    </rPh>
    <phoneticPr fontId="4"/>
  </si>
  <si>
    <t>調整額（２）</t>
    <rPh sb="0" eb="3">
      <t>チョウセイガク</t>
    </rPh>
    <phoneticPr fontId="4"/>
  </si>
  <si>
    <t>調整額（３）</t>
    <rPh sb="0" eb="3">
      <t>チョウセイガク</t>
    </rPh>
    <phoneticPr fontId="4"/>
  </si>
  <si>
    <t>月分適用</t>
    <rPh sb="0" eb="1">
      <t>ツキ</t>
    </rPh>
    <rPh sb="1" eb="2">
      <t>ブン</t>
    </rPh>
    <rPh sb="2" eb="4">
      <t>テキヨウ</t>
    </rPh>
    <phoneticPr fontId="4"/>
  </si>
  <si>
    <t>＋</t>
    <phoneticPr fontId="4"/>
  </si>
  <si>
    <t>＝</t>
    <phoneticPr fontId="4"/>
  </si>
  <si>
    <t>（１）</t>
    <phoneticPr fontId="4"/>
  </si>
  <si>
    <t>（２）</t>
    <phoneticPr fontId="4"/>
  </si>
  <si>
    <t>（３）</t>
    <phoneticPr fontId="4"/>
  </si>
  <si>
    <t>簡易試算シートに戻る</t>
    <rPh sb="8" eb="9">
      <t>モド</t>
    </rPh>
    <phoneticPr fontId="4"/>
  </si>
  <si>
    <t>（↓上から金額の大きい区分順に入力してください）</t>
    <rPh sb="2" eb="3">
      <t>ウエ</t>
    </rPh>
    <rPh sb="5" eb="7">
      <t>キンガク</t>
    </rPh>
    <rPh sb="8" eb="9">
      <t>オオ</t>
    </rPh>
    <rPh sb="11" eb="13">
      <t>クブン</t>
    </rPh>
    <rPh sb="13" eb="14">
      <t>ジュン</t>
    </rPh>
    <rPh sb="15" eb="17">
      <t>ニュウリョク</t>
    </rPh>
    <phoneticPr fontId="4"/>
  </si>
  <si>
    <t>②調整額</t>
    <phoneticPr fontId="4"/>
  </si>
  <si>
    <t>退職手当額　＝</t>
    <rPh sb="0" eb="2">
      <t>タイショク</t>
    </rPh>
    <rPh sb="2" eb="4">
      <t>テアテ</t>
    </rPh>
    <rPh sb="4" eb="5">
      <t>ガク</t>
    </rPh>
    <phoneticPr fontId="4"/>
  </si>
  <si>
    <t>調整額（合計）</t>
    <rPh sb="0" eb="3">
      <t>チョウセイガク</t>
    </rPh>
    <rPh sb="4" eb="6">
      <t>ゴウケイ</t>
    </rPh>
    <phoneticPr fontId="4"/>
  </si>
  <si>
    <t>円　＝</t>
    <rPh sb="0" eb="1">
      <t>エン</t>
    </rPh>
    <phoneticPr fontId="4"/>
  </si>
  <si>
    <t>円　＋</t>
    <rPh sb="0" eb="1">
      <t>エン</t>
    </rPh>
    <phoneticPr fontId="4"/>
  </si>
  <si>
    <t>勤続年数</t>
    <rPh sb="0" eb="2">
      <t>キンゾク</t>
    </rPh>
    <rPh sb="2" eb="4">
      <t>ネンスウ</t>
    </rPh>
    <phoneticPr fontId="8"/>
  </si>
  <si>
    <t>✓勤続年数</t>
    <rPh sb="1" eb="3">
      <t>キンゾク</t>
    </rPh>
    <rPh sb="3" eb="5">
      <t>ネンスウ</t>
    </rPh>
    <phoneticPr fontId="4"/>
  </si>
  <si>
    <t>「調整額適用表シート」を参照して、ご自身の給料発令履歴と照合の上「調整月額（区分）」と在籍した「月数」を入力してください。</t>
    <rPh sb="12" eb="14">
      <t>サンショウ</t>
    </rPh>
    <rPh sb="18" eb="20">
      <t>ジシン</t>
    </rPh>
    <rPh sb="21" eb="23">
      <t>キュウリョウ</t>
    </rPh>
    <rPh sb="23" eb="25">
      <t>ハツレイ</t>
    </rPh>
    <rPh sb="25" eb="27">
      <t>リレキ</t>
    </rPh>
    <rPh sb="28" eb="30">
      <t>ショウゴウ</t>
    </rPh>
    <rPh sb="31" eb="32">
      <t>ウエ</t>
    </rPh>
    <rPh sb="33" eb="35">
      <t>チョウセイ</t>
    </rPh>
    <rPh sb="35" eb="37">
      <t>ゲツガク</t>
    </rPh>
    <rPh sb="38" eb="40">
      <t>クブン</t>
    </rPh>
    <rPh sb="43" eb="45">
      <t>ザイセキ</t>
    </rPh>
    <rPh sb="48" eb="50">
      <t>ツキスウ</t>
    </rPh>
    <rPh sb="52" eb="54">
      <t>ニュウリョク</t>
    </rPh>
    <phoneticPr fontId="4"/>
  </si>
  <si>
    <t>退職手当の試算シート（簡易版）</t>
    <rPh sb="0" eb="2">
      <t>タイショク</t>
    </rPh>
    <rPh sb="2" eb="4">
      <t>テアテ</t>
    </rPh>
    <rPh sb="5" eb="7">
      <t>シサン</t>
    </rPh>
    <rPh sb="11" eb="14">
      <t>カンイバン</t>
    </rPh>
    <phoneticPr fontId="4"/>
  </si>
  <si>
    <t>最大</t>
    <rPh sb="0" eb="2">
      <t>サイダイ</t>
    </rPh>
    <phoneticPr fontId="4"/>
  </si>
  <si>
    <t>（「教職員調整額」や「給料の調整額」を含む）</t>
    <rPh sb="2" eb="5">
      <t>キョウショクイン</t>
    </rPh>
    <rPh sb="11" eb="13">
      <t>キュウリョウ</t>
    </rPh>
    <rPh sb="14" eb="17">
      <t>チョウセイガク</t>
    </rPh>
    <rPh sb="19" eb="20">
      <t>フク</t>
    </rPh>
    <phoneticPr fontId="4"/>
  </si>
  <si>
    <t>教職員調整額
または 給料の調整額</t>
    <rPh sb="0" eb="3">
      <t>キョウショクイン</t>
    </rPh>
    <rPh sb="3" eb="6">
      <t>チョウセイガク</t>
    </rPh>
    <rPh sb="11" eb="13">
      <t>キュウリョウ</t>
    </rPh>
    <rPh sb="14" eb="17">
      <t>チョウセイガク</t>
    </rPh>
    <phoneticPr fontId="4"/>
  </si>
  <si>
    <t>３分の１除算</t>
    <rPh sb="1" eb="2">
      <t>ブン</t>
    </rPh>
    <rPh sb="4" eb="6">
      <t>ジョサン</t>
    </rPh>
    <phoneticPr fontId="4"/>
  </si>
  <si>
    <t>２分の１除算</t>
    <rPh sb="1" eb="2">
      <t>ブン</t>
    </rPh>
    <rPh sb="4" eb="6">
      <t>ジョサン</t>
    </rPh>
    <phoneticPr fontId="4"/>
  </si>
  <si>
    <t>全期間除算</t>
    <rPh sb="0" eb="3">
      <t>ゼンキカン</t>
    </rPh>
    <rPh sb="3" eb="5">
      <t>ジョサン</t>
    </rPh>
    <phoneticPr fontId="4"/>
  </si>
  <si>
    <t>※期間の始めと終わりの月で、１日でも勤務した日がある月は含みません。</t>
    <rPh sb="1" eb="3">
      <t>キカン</t>
    </rPh>
    <rPh sb="4" eb="5">
      <t>ハジ</t>
    </rPh>
    <rPh sb="7" eb="8">
      <t>オ</t>
    </rPh>
    <rPh sb="11" eb="12">
      <t>ツキ</t>
    </rPh>
    <rPh sb="15" eb="16">
      <t>ニチ</t>
    </rPh>
    <rPh sb="18" eb="20">
      <t>キンム</t>
    </rPh>
    <rPh sb="22" eb="23">
      <t>ヒ</t>
    </rPh>
    <rPh sb="26" eb="27">
      <t>ツキ</t>
    </rPh>
    <rPh sb="28" eb="29">
      <t>フク</t>
    </rPh>
    <phoneticPr fontId="4"/>
  </si>
  <si>
    <t>対象月数</t>
    <rPh sb="0" eb="2">
      <t>タイショウ</t>
    </rPh>
    <rPh sb="2" eb="4">
      <t>ツキスウ</t>
    </rPh>
    <phoneticPr fontId="4"/>
  </si>
  <si>
    <t>除算月数</t>
    <rPh sb="0" eb="2">
      <t>ジョサン</t>
    </rPh>
    <rPh sb="2" eb="4">
      <t>ツキスウ</t>
    </rPh>
    <phoneticPr fontId="4"/>
  </si>
  <si>
    <t>計</t>
    <rPh sb="0" eb="1">
      <t>ケイ</t>
    </rPh>
    <phoneticPr fontId="4"/>
  </si>
  <si>
    <t>年</t>
    <rPh sb="0" eb="1">
      <t>ネン</t>
    </rPh>
    <phoneticPr fontId="4"/>
  </si>
  <si>
    <t>除算後</t>
    <rPh sb="0" eb="2">
      <t>ジョサン</t>
    </rPh>
    <rPh sb="2" eb="3">
      <t>ゴ</t>
    </rPh>
    <phoneticPr fontId="4"/>
  </si>
  <si>
    <t>在職期間</t>
    <rPh sb="0" eb="2">
      <t>ザイショク</t>
    </rPh>
    <rPh sb="2" eb="4">
      <t>キカン</t>
    </rPh>
    <phoneticPr fontId="4"/>
  </si>
  <si>
    <t>除算期間</t>
    <rPh sb="0" eb="2">
      <t>ジョサン</t>
    </rPh>
    <rPh sb="2" eb="4">
      <t>キカン</t>
    </rPh>
    <phoneticPr fontId="4"/>
  </si>
  <si>
    <t>月　→</t>
    <rPh sb="0" eb="1">
      <t>ツキ</t>
    </rPh>
    <phoneticPr fontId="4"/>
  </si>
  <si>
    <t>【退職事由リスト】</t>
    <rPh sb="1" eb="3">
      <t>タイショク</t>
    </rPh>
    <rPh sb="3" eb="5">
      <t>ジユウ</t>
    </rPh>
    <phoneticPr fontId="4"/>
  </si>
  <si>
    <t>円</t>
    <rPh sb="0" eb="1">
      <t>エン</t>
    </rPh>
    <phoneticPr fontId="8"/>
  </si>
  <si>
    <t>＜㌽＞退職事由が定年等の場合で、勤続期間が35年以上の場合は、支給率は最高率で同率になります。（この意味で、基本額も変わらなくなります。）</t>
    <rPh sb="3" eb="5">
      <t>タイショク</t>
    </rPh>
    <rPh sb="5" eb="7">
      <t>ジユウ</t>
    </rPh>
    <rPh sb="8" eb="10">
      <t>テイネン</t>
    </rPh>
    <rPh sb="10" eb="11">
      <t>トウ</t>
    </rPh>
    <rPh sb="12" eb="14">
      <t>バアイ</t>
    </rPh>
    <rPh sb="16" eb="18">
      <t>キンゾク</t>
    </rPh>
    <rPh sb="18" eb="20">
      <t>キカン</t>
    </rPh>
    <rPh sb="23" eb="24">
      <t>ネン</t>
    </rPh>
    <rPh sb="24" eb="26">
      <t>イジョウ</t>
    </rPh>
    <rPh sb="27" eb="29">
      <t>バアイ</t>
    </rPh>
    <rPh sb="31" eb="34">
      <t>シキュウリツ</t>
    </rPh>
    <rPh sb="35" eb="38">
      <t>サイコウリツ</t>
    </rPh>
    <rPh sb="39" eb="41">
      <t>ドウリツ</t>
    </rPh>
    <rPh sb="50" eb="52">
      <t>イミ</t>
    </rPh>
    <rPh sb="54" eb="57">
      <t>キホンガク</t>
    </rPh>
    <rPh sb="58" eb="59">
      <t>カ</t>
    </rPh>
    <phoneticPr fontId="8"/>
  </si>
  <si>
    <t>＜㌽＞退職事由が定年等の場合で、勤続期間が35年以上の場合は、支給率は最高率で同率になります。</t>
    <rPh sb="3" eb="5">
      <t>タイショク</t>
    </rPh>
    <rPh sb="5" eb="7">
      <t>ジユウ</t>
    </rPh>
    <rPh sb="8" eb="10">
      <t>テイネン</t>
    </rPh>
    <rPh sb="10" eb="11">
      <t>トウ</t>
    </rPh>
    <rPh sb="12" eb="14">
      <t>バアイ</t>
    </rPh>
    <rPh sb="16" eb="18">
      <t>キンゾク</t>
    </rPh>
    <rPh sb="18" eb="20">
      <t>キカン</t>
    </rPh>
    <rPh sb="23" eb="24">
      <t>ネン</t>
    </rPh>
    <rPh sb="24" eb="26">
      <t>イジョウ</t>
    </rPh>
    <rPh sb="27" eb="29">
      <t>バアイ</t>
    </rPh>
    <rPh sb="31" eb="34">
      <t>シキュウリツ</t>
    </rPh>
    <rPh sb="35" eb="38">
      <t>サイコウリツ</t>
    </rPh>
    <rPh sb="39" eb="41">
      <t>ドウリツ</t>
    </rPh>
    <phoneticPr fontId="8"/>
  </si>
  <si>
    <t>（H25.1.1以降）</t>
    <rPh sb="8" eb="10">
      <t>イコウ</t>
    </rPh>
    <phoneticPr fontId="26"/>
  </si>
  <si>
    <t>勤続年数</t>
    <rPh sb="0" eb="2">
      <t>キンゾク</t>
    </rPh>
    <rPh sb="2" eb="4">
      <t>ネンスウ</t>
    </rPh>
    <phoneticPr fontId="26"/>
  </si>
  <si>
    <t>税額計算基本情報</t>
    <rPh sb="0" eb="2">
      <t>ゼイガク</t>
    </rPh>
    <rPh sb="2" eb="4">
      <t>ケイサン</t>
    </rPh>
    <rPh sb="4" eb="6">
      <t>キホン</t>
    </rPh>
    <rPh sb="6" eb="8">
      <t>ジョウホウ</t>
    </rPh>
    <phoneticPr fontId="26"/>
  </si>
  <si>
    <t>退職手当額</t>
    <rPh sb="0" eb="2">
      <t>タイショク</t>
    </rPh>
    <rPh sb="2" eb="4">
      <t>テアテ</t>
    </rPh>
    <rPh sb="4" eb="5">
      <t>ガク</t>
    </rPh>
    <phoneticPr fontId="26"/>
  </si>
  <si>
    <t>円</t>
    <rPh sb="0" eb="1">
      <t>エン</t>
    </rPh>
    <phoneticPr fontId="9"/>
  </si>
  <si>
    <t>円</t>
    <rPh sb="0" eb="1">
      <t>エン</t>
    </rPh>
    <phoneticPr fontId="26"/>
  </si>
  <si>
    <t>(1)</t>
    <phoneticPr fontId="26"/>
  </si>
  <si>
    <t>退職所得控除額</t>
    <rPh sb="0" eb="2">
      <t>タイショク</t>
    </rPh>
    <rPh sb="2" eb="4">
      <t>ショトク</t>
    </rPh>
    <rPh sb="4" eb="7">
      <t>コウジョガク</t>
    </rPh>
    <phoneticPr fontId="26"/>
  </si>
  <si>
    <t>(2)</t>
    <phoneticPr fontId="26"/>
  </si>
  <si>
    <t>（単位：千円）</t>
    <rPh sb="1" eb="3">
      <t>タンイ</t>
    </rPh>
    <rPh sb="4" eb="6">
      <t>センエン</t>
    </rPh>
    <phoneticPr fontId="26"/>
  </si>
  <si>
    <t>1年</t>
    <rPh sb="1" eb="2">
      <t>ネン</t>
    </rPh>
    <phoneticPr fontId="26"/>
  </si>
  <si>
    <t>11年</t>
    <rPh sb="2" eb="3">
      <t>ネン</t>
    </rPh>
    <phoneticPr fontId="26"/>
  </si>
  <si>
    <t>21年</t>
    <rPh sb="2" eb="3">
      <t>ネン</t>
    </rPh>
    <phoneticPr fontId="26"/>
  </si>
  <si>
    <t>31年</t>
    <rPh sb="2" eb="3">
      <t>ネン</t>
    </rPh>
    <phoneticPr fontId="26"/>
  </si>
  <si>
    <t>2年</t>
    <rPh sb="1" eb="2">
      <t>ネン</t>
    </rPh>
    <phoneticPr fontId="26"/>
  </si>
  <si>
    <t>12年</t>
    <rPh sb="2" eb="3">
      <t>ネン</t>
    </rPh>
    <phoneticPr fontId="26"/>
  </si>
  <si>
    <t>22年</t>
    <rPh sb="2" eb="3">
      <t>ネン</t>
    </rPh>
    <phoneticPr fontId="26"/>
  </si>
  <si>
    <t>32年</t>
    <rPh sb="2" eb="3">
      <t>ネン</t>
    </rPh>
    <phoneticPr fontId="26"/>
  </si>
  <si>
    <t>3年</t>
    <rPh sb="1" eb="2">
      <t>ネン</t>
    </rPh>
    <phoneticPr fontId="26"/>
  </si>
  <si>
    <t>13年</t>
    <rPh sb="2" eb="3">
      <t>ネン</t>
    </rPh>
    <phoneticPr fontId="26"/>
  </si>
  <si>
    <t>23年</t>
    <rPh sb="2" eb="3">
      <t>ネン</t>
    </rPh>
    <phoneticPr fontId="26"/>
  </si>
  <si>
    <t>33年</t>
    <rPh sb="2" eb="3">
      <t>ネン</t>
    </rPh>
    <phoneticPr fontId="26"/>
  </si>
  <si>
    <t>4年</t>
    <rPh sb="1" eb="2">
      <t>ネン</t>
    </rPh>
    <phoneticPr fontId="26"/>
  </si>
  <si>
    <t>14年</t>
    <rPh sb="2" eb="3">
      <t>ネン</t>
    </rPh>
    <phoneticPr fontId="26"/>
  </si>
  <si>
    <t>24年</t>
    <rPh sb="2" eb="3">
      <t>ネン</t>
    </rPh>
    <phoneticPr fontId="26"/>
  </si>
  <si>
    <t>34年</t>
    <rPh sb="2" eb="3">
      <t>ネン</t>
    </rPh>
    <phoneticPr fontId="26"/>
  </si>
  <si>
    <t>5年</t>
    <rPh sb="1" eb="2">
      <t>ネン</t>
    </rPh>
    <phoneticPr fontId="26"/>
  </si>
  <si>
    <t>15年</t>
    <rPh sb="2" eb="3">
      <t>ネン</t>
    </rPh>
    <phoneticPr fontId="26"/>
  </si>
  <si>
    <t>25年</t>
    <rPh sb="2" eb="3">
      <t>ネン</t>
    </rPh>
    <phoneticPr fontId="26"/>
  </si>
  <si>
    <t>35年</t>
    <rPh sb="2" eb="3">
      <t>ネン</t>
    </rPh>
    <phoneticPr fontId="26"/>
  </si>
  <si>
    <t>6年</t>
    <rPh sb="1" eb="2">
      <t>ネン</t>
    </rPh>
    <phoneticPr fontId="26"/>
  </si>
  <si>
    <t>16年</t>
    <rPh sb="2" eb="3">
      <t>ネン</t>
    </rPh>
    <phoneticPr fontId="26"/>
  </si>
  <si>
    <t>26年</t>
    <rPh sb="2" eb="3">
      <t>ネン</t>
    </rPh>
    <phoneticPr fontId="26"/>
  </si>
  <si>
    <t>36年</t>
    <rPh sb="2" eb="3">
      <t>ネン</t>
    </rPh>
    <phoneticPr fontId="26"/>
  </si>
  <si>
    <t>7年</t>
    <rPh sb="1" eb="2">
      <t>ネン</t>
    </rPh>
    <phoneticPr fontId="26"/>
  </si>
  <si>
    <t>17年</t>
    <rPh sb="2" eb="3">
      <t>ネン</t>
    </rPh>
    <phoneticPr fontId="26"/>
  </si>
  <si>
    <t>27年</t>
    <rPh sb="2" eb="3">
      <t>ネン</t>
    </rPh>
    <phoneticPr fontId="26"/>
  </si>
  <si>
    <t>37年</t>
    <rPh sb="2" eb="3">
      <t>ネン</t>
    </rPh>
    <phoneticPr fontId="26"/>
  </si>
  <si>
    <t>8年</t>
    <rPh sb="1" eb="2">
      <t>ネン</t>
    </rPh>
    <phoneticPr fontId="26"/>
  </si>
  <si>
    <t>18年</t>
    <rPh sb="2" eb="3">
      <t>ネン</t>
    </rPh>
    <phoneticPr fontId="26"/>
  </si>
  <si>
    <t>28年</t>
    <rPh sb="2" eb="3">
      <t>ネン</t>
    </rPh>
    <phoneticPr fontId="26"/>
  </si>
  <si>
    <t>38年</t>
    <rPh sb="2" eb="3">
      <t>ネン</t>
    </rPh>
    <phoneticPr fontId="26"/>
  </si>
  <si>
    <t>9年</t>
    <rPh sb="1" eb="2">
      <t>ネン</t>
    </rPh>
    <phoneticPr fontId="26"/>
  </si>
  <si>
    <t>19年</t>
    <rPh sb="2" eb="3">
      <t>ネン</t>
    </rPh>
    <phoneticPr fontId="26"/>
  </si>
  <si>
    <t>29年</t>
    <rPh sb="2" eb="3">
      <t>ネン</t>
    </rPh>
    <phoneticPr fontId="26"/>
  </si>
  <si>
    <t>39年</t>
    <rPh sb="2" eb="3">
      <t>ネン</t>
    </rPh>
    <phoneticPr fontId="26"/>
  </si>
  <si>
    <t>10年</t>
    <rPh sb="2" eb="3">
      <t>ネン</t>
    </rPh>
    <phoneticPr fontId="26"/>
  </si>
  <si>
    <t>20年</t>
    <rPh sb="2" eb="3">
      <t>ネン</t>
    </rPh>
    <phoneticPr fontId="26"/>
  </si>
  <si>
    <t>30年</t>
    <rPh sb="2" eb="3">
      <t>ネン</t>
    </rPh>
    <phoneticPr fontId="26"/>
  </si>
  <si>
    <t>40年</t>
    <rPh sb="2" eb="3">
      <t>ネン</t>
    </rPh>
    <phoneticPr fontId="26"/>
  </si>
  <si>
    <t>※障害退職は上記金額に1,000千円を加算</t>
    <rPh sb="1" eb="3">
      <t>ショウガイ</t>
    </rPh>
    <rPh sb="3" eb="5">
      <t>タイショク</t>
    </rPh>
    <rPh sb="6" eb="8">
      <t>ジョウキ</t>
    </rPh>
    <rPh sb="8" eb="10">
      <t>キンガク</t>
    </rPh>
    <rPh sb="16" eb="18">
      <t>センエン</t>
    </rPh>
    <rPh sb="19" eb="21">
      <t>カサン</t>
    </rPh>
    <phoneticPr fontId="26"/>
  </si>
  <si>
    <t>41年</t>
    <rPh sb="2" eb="3">
      <t>ネン</t>
    </rPh>
    <phoneticPr fontId="26"/>
  </si>
  <si>
    <t>※41年以上は1年につき700千円を加算</t>
    <rPh sb="3" eb="6">
      <t>ネンイジョウ</t>
    </rPh>
    <rPh sb="8" eb="9">
      <t>ネン</t>
    </rPh>
    <rPh sb="15" eb="17">
      <t>センエン</t>
    </rPh>
    <rPh sb="18" eb="20">
      <t>カサン</t>
    </rPh>
    <phoneticPr fontId="26"/>
  </si>
  <si>
    <t>42年</t>
    <rPh sb="2" eb="3">
      <t>ネン</t>
    </rPh>
    <phoneticPr fontId="26"/>
  </si>
  <si>
    <t>退職所得控除額控除後の退職手当額 (1)-(2)</t>
    <rPh sb="0" eb="2">
      <t>タイショク</t>
    </rPh>
    <rPh sb="2" eb="4">
      <t>ショトク</t>
    </rPh>
    <rPh sb="4" eb="6">
      <t>コウジョ</t>
    </rPh>
    <rPh sb="6" eb="7">
      <t>ガク</t>
    </rPh>
    <rPh sb="7" eb="9">
      <t>コウジョ</t>
    </rPh>
    <rPh sb="9" eb="10">
      <t>ゴ</t>
    </rPh>
    <rPh sb="11" eb="13">
      <t>タイショク</t>
    </rPh>
    <rPh sb="13" eb="15">
      <t>テアテ</t>
    </rPh>
    <rPh sb="15" eb="16">
      <t>ガク</t>
    </rPh>
    <phoneticPr fontId="26"/>
  </si>
  <si>
    <t>(3)</t>
    <phoneticPr fontId="26"/>
  </si>
  <si>
    <t>課税退職所得金額　(3)×１／２（千円未満切り捨て）</t>
    <rPh sb="0" eb="2">
      <t>カゼイ</t>
    </rPh>
    <rPh sb="2" eb="4">
      <t>タイショク</t>
    </rPh>
    <rPh sb="4" eb="6">
      <t>ショトク</t>
    </rPh>
    <rPh sb="6" eb="8">
      <t>キンガク</t>
    </rPh>
    <rPh sb="17" eb="18">
      <t>セン</t>
    </rPh>
    <rPh sb="18" eb="21">
      <t>エンミマン</t>
    </rPh>
    <rPh sb="21" eb="22">
      <t>キ</t>
    </rPh>
    <rPh sb="23" eb="24">
      <t>ス</t>
    </rPh>
    <phoneticPr fontId="26"/>
  </si>
  <si>
    <t>(4)</t>
    <phoneticPr fontId="26"/>
  </si>
  <si>
    <t>所得税</t>
    <rPh sb="0" eb="3">
      <t>ショトクゼイ</t>
    </rPh>
    <phoneticPr fontId="26"/>
  </si>
  <si>
    <t>課税退職所得金額(4)</t>
    <rPh sb="0" eb="2">
      <t>カゼイ</t>
    </rPh>
    <rPh sb="2" eb="4">
      <t>タイショク</t>
    </rPh>
    <rPh sb="4" eb="6">
      <t>ショトク</t>
    </rPh>
    <rPh sb="6" eb="8">
      <t>キンガク</t>
    </rPh>
    <phoneticPr fontId="26"/>
  </si>
  <si>
    <t>税率</t>
    <rPh sb="0" eb="1">
      <t>ゼイ</t>
    </rPh>
    <rPh sb="1" eb="2">
      <t>リツ</t>
    </rPh>
    <phoneticPr fontId="26"/>
  </si>
  <si>
    <t>控除額</t>
    <rPh sb="0" eb="3">
      <t>コウジョガク</t>
    </rPh>
    <phoneticPr fontId="26"/>
  </si>
  <si>
    <t>復興特別消費税</t>
    <rPh sb="0" eb="2">
      <t>フッコウ</t>
    </rPh>
    <rPh sb="2" eb="4">
      <t>トクベツ</t>
    </rPh>
    <rPh sb="4" eb="6">
      <t>ショウヒ</t>
    </rPh>
    <rPh sb="6" eb="7">
      <t>ゼイ</t>
    </rPh>
    <phoneticPr fontId="26"/>
  </si>
  <si>
    <t>所得税額</t>
    <rPh sb="0" eb="3">
      <t>ショトクゼイ</t>
    </rPh>
    <rPh sb="3" eb="4">
      <t>ガク</t>
    </rPh>
    <phoneticPr fontId="26"/>
  </si>
  <si>
    <t>（</t>
    <phoneticPr fontId="26"/>
  </si>
  <si>
    <t>円　×</t>
    <rPh sb="0" eb="1">
      <t>エン</t>
    </rPh>
    <phoneticPr fontId="26"/>
  </si>
  <si>
    <t>％　－</t>
    <phoneticPr fontId="26"/>
  </si>
  <si>
    <t>）</t>
  </si>
  <si>
    <t xml:space="preserve"> ×</t>
    <phoneticPr fontId="26"/>
  </si>
  <si>
    <t>％</t>
    <phoneticPr fontId="26"/>
  </si>
  <si>
    <t>＝</t>
    <phoneticPr fontId="26"/>
  </si>
  <si>
    <t>（一円未満切り捨て）</t>
    <rPh sb="1" eb="2">
      <t>イチ</t>
    </rPh>
    <rPh sb="2" eb="5">
      <t>エンミマン</t>
    </rPh>
    <rPh sb="5" eb="6">
      <t>キ</t>
    </rPh>
    <rPh sb="7" eb="8">
      <t>ス</t>
    </rPh>
    <phoneticPr fontId="26"/>
  </si>
  <si>
    <t>課税退職所得金額　(4)</t>
    <rPh sb="0" eb="2">
      <t>カゼイ</t>
    </rPh>
    <rPh sb="2" eb="4">
      <t>タイショク</t>
    </rPh>
    <rPh sb="4" eb="6">
      <t>ショトク</t>
    </rPh>
    <rPh sb="6" eb="8">
      <t>キンガク</t>
    </rPh>
    <phoneticPr fontId="26"/>
  </si>
  <si>
    <t>税率</t>
    <rPh sb="0" eb="2">
      <t>ゼイリツ</t>
    </rPh>
    <phoneticPr fontId="26"/>
  </si>
  <si>
    <t>円超</t>
    <rPh sb="0" eb="1">
      <t>エン</t>
    </rPh>
    <rPh sb="1" eb="2">
      <t>チョウ</t>
    </rPh>
    <phoneticPr fontId="26"/>
  </si>
  <si>
    <t>円以下</t>
    <rPh sb="0" eb="1">
      <t>エン</t>
    </rPh>
    <rPh sb="1" eb="3">
      <t>イカ</t>
    </rPh>
    <phoneticPr fontId="26"/>
  </si>
  <si>
    <t>-</t>
    <phoneticPr fontId="26"/>
  </si>
  <si>
    <t>市町村民税</t>
    <rPh sb="0" eb="5">
      <t>シチョウソンミンゼイ</t>
    </rPh>
    <phoneticPr fontId="26"/>
  </si>
  <si>
    <t>市町村民税額</t>
    <rPh sb="0" eb="3">
      <t>シチョウソン</t>
    </rPh>
    <rPh sb="3" eb="4">
      <t>ミン</t>
    </rPh>
    <rPh sb="4" eb="5">
      <t>ゼイ</t>
    </rPh>
    <rPh sb="5" eb="6">
      <t>ガク</t>
    </rPh>
    <phoneticPr fontId="26"/>
  </si>
  <si>
    <t>％　</t>
    <phoneticPr fontId="26"/>
  </si>
  <si>
    <t>（百円未満切り捨て）</t>
    <rPh sb="1" eb="2">
      <t>ヒャク</t>
    </rPh>
    <rPh sb="2" eb="5">
      <t>エンミマン</t>
    </rPh>
    <rPh sb="5" eb="6">
      <t>キ</t>
    </rPh>
    <rPh sb="7" eb="8">
      <t>ス</t>
    </rPh>
    <phoneticPr fontId="26"/>
  </si>
  <si>
    <t>県民税</t>
    <rPh sb="0" eb="3">
      <t>ケンミンゼイ</t>
    </rPh>
    <phoneticPr fontId="26"/>
  </si>
  <si>
    <t>県民税額</t>
    <rPh sb="0" eb="1">
      <t>ケン</t>
    </rPh>
    <rPh sb="1" eb="2">
      <t>ミン</t>
    </rPh>
    <rPh sb="2" eb="3">
      <t>ゼイ</t>
    </rPh>
    <rPh sb="3" eb="4">
      <t>ガク</t>
    </rPh>
    <phoneticPr fontId="26"/>
  </si>
  <si>
    <t>計</t>
    <rPh sb="0" eb="1">
      <t>ケイ</t>
    </rPh>
    <phoneticPr fontId="26"/>
  </si>
  <si>
    <t>退職手当の税額計算</t>
    <rPh sb="0" eb="2">
      <t>タイショク</t>
    </rPh>
    <rPh sb="2" eb="4">
      <t>テアテ</t>
    </rPh>
    <rPh sb="5" eb="7">
      <t>ゼイガク</t>
    </rPh>
    <rPh sb="7" eb="9">
      <t>ケイサン</t>
    </rPh>
    <phoneticPr fontId="26"/>
  </si>
  <si>
    <t>所得税及び
復興特別所得税</t>
    <rPh sb="3" eb="4">
      <t>オヨ</t>
    </rPh>
    <rPh sb="6" eb="8">
      <t>フッコウ</t>
    </rPh>
    <rPh sb="8" eb="10">
      <t>トクベツ</t>
    </rPh>
    <rPh sb="10" eb="13">
      <t>ショトクゼイ</t>
    </rPh>
    <phoneticPr fontId="9"/>
  </si>
  <si>
    <t>市町村民税</t>
  </si>
  <si>
    <t>県民税</t>
  </si>
  <si>
    <t>合計</t>
    <rPh sb="0" eb="2">
      <t>ゴウケイ</t>
    </rPh>
    <phoneticPr fontId="8"/>
  </si>
  <si>
    <t>「税額計算」シート参照</t>
    <rPh sb="1" eb="3">
      <t>ゼイガク</t>
    </rPh>
    <rPh sb="3" eb="5">
      <t>ケイサン</t>
    </rPh>
    <rPh sb="9" eb="11">
      <t>サンショウ</t>
    </rPh>
    <phoneticPr fontId="8"/>
  </si>
  <si>
    <t>※共済組合等からの貸付金で未弁済金がある場合は、退職手当から一括償還されます。</t>
    <rPh sb="1" eb="3">
      <t>キョウサイ</t>
    </rPh>
    <rPh sb="3" eb="5">
      <t>クミアイ</t>
    </rPh>
    <rPh sb="5" eb="6">
      <t>トウ</t>
    </rPh>
    <rPh sb="9" eb="12">
      <t>カシツケキン</t>
    </rPh>
    <rPh sb="13" eb="14">
      <t>ミ</t>
    </rPh>
    <rPh sb="14" eb="16">
      <t>ベンサイ</t>
    </rPh>
    <rPh sb="16" eb="17">
      <t>カネ</t>
    </rPh>
    <rPh sb="20" eb="22">
      <t>バアイ</t>
    </rPh>
    <rPh sb="24" eb="26">
      <t>タイショク</t>
    </rPh>
    <rPh sb="26" eb="28">
      <t>テアテ</t>
    </rPh>
    <rPh sb="30" eb="32">
      <t>イッカツ</t>
    </rPh>
    <rPh sb="32" eb="34">
      <t>ショウカン</t>
    </rPh>
    <phoneticPr fontId="9"/>
  </si>
  <si>
    <t>共済弁済金（※注）</t>
    <phoneticPr fontId="8"/>
  </si>
  <si>
    <t>ピーク時特例</t>
    <rPh sb="3" eb="6">
      <t>ジトクレイ</t>
    </rPh>
    <phoneticPr fontId="4"/>
  </si>
  <si>
    <t>定年引上げ(R5.4.1)後、60歳に達した職員の退職手当について</t>
    <rPh sb="0" eb="2">
      <t>テイネン</t>
    </rPh>
    <rPh sb="2" eb="3">
      <t>ヒ</t>
    </rPh>
    <rPh sb="3" eb="4">
      <t>ア</t>
    </rPh>
    <rPh sb="13" eb="14">
      <t>ゴ</t>
    </rPh>
    <rPh sb="17" eb="18">
      <t>サイ</t>
    </rPh>
    <rPh sb="19" eb="20">
      <t>タッ</t>
    </rPh>
    <rPh sb="22" eb="24">
      <t>ショクイン</t>
    </rPh>
    <rPh sb="25" eb="27">
      <t>タイショク</t>
    </rPh>
    <rPh sb="27" eb="29">
      <t>テアテ</t>
    </rPh>
    <phoneticPr fontId="4"/>
  </si>
  <si>
    <t>　60歳に達した日以後、その者の非違によることなく退職した者の退職手当の基本額については、当分の間、退職事由を「定年退職」として算定されます。</t>
    <phoneticPr fontId="4"/>
  </si>
  <si>
    <t>〇退職事由は「定年退職」</t>
    <phoneticPr fontId="4"/>
  </si>
  <si>
    <t>〇「ピーク時特例」の適用</t>
    <rPh sb="5" eb="8">
      <t>ジトクレイ</t>
    </rPh>
    <rPh sb="10" eb="12">
      <t>テキヨウ</t>
    </rPh>
    <phoneticPr fontId="4"/>
  </si>
  <si>
    <t>(1)年齢</t>
    <rPh sb="3" eb="5">
      <t>ネンレイ</t>
    </rPh>
    <phoneticPr fontId="4"/>
  </si>
  <si>
    <t>(2)勤続年数</t>
    <rPh sb="3" eb="5">
      <t>キンゾク</t>
    </rPh>
    <rPh sb="5" eb="7">
      <t>ネンスウ</t>
    </rPh>
    <phoneticPr fontId="4"/>
  </si>
  <si>
    <t>(3)支給率（「定年」）</t>
    <rPh sb="3" eb="6">
      <t>シキュウリツ</t>
    </rPh>
    <rPh sb="8" eb="10">
      <t>テイネン</t>
    </rPh>
    <phoneticPr fontId="4"/>
  </si>
  <si>
    <t>(4)給料月額</t>
    <rPh sb="3" eb="5">
      <t>キュウリョウ</t>
    </rPh>
    <rPh sb="5" eb="7">
      <t>ゲツガク</t>
    </rPh>
    <phoneticPr fontId="4"/>
  </si>
  <si>
    <t>58歳</t>
    <rPh sb="2" eb="3">
      <t>サイ</t>
    </rPh>
    <phoneticPr fontId="4"/>
  </si>
  <si>
    <t>59歳</t>
    <rPh sb="2" eb="3">
      <t>サイ</t>
    </rPh>
    <phoneticPr fontId="4"/>
  </si>
  <si>
    <t>60歳</t>
    <rPh sb="2" eb="3">
      <t>サイ</t>
    </rPh>
    <phoneticPr fontId="4"/>
  </si>
  <si>
    <t>61歳</t>
    <rPh sb="2" eb="3">
      <t>サイ</t>
    </rPh>
    <phoneticPr fontId="4"/>
  </si>
  <si>
    <t>62歳</t>
    <rPh sb="2" eb="3">
      <t>サイ</t>
    </rPh>
    <phoneticPr fontId="4"/>
  </si>
  <si>
    <t>63歳</t>
    <rPh sb="2" eb="3">
      <t>サイ</t>
    </rPh>
    <phoneticPr fontId="4"/>
  </si>
  <si>
    <t>64歳</t>
    <rPh sb="2" eb="3">
      <t>サイ</t>
    </rPh>
    <phoneticPr fontId="4"/>
  </si>
  <si>
    <t>65歳</t>
    <rPh sb="2" eb="3">
      <t>サイ</t>
    </rPh>
    <phoneticPr fontId="4"/>
  </si>
  <si>
    <t>31年</t>
    <rPh sb="2" eb="3">
      <t>ネン</t>
    </rPh>
    <phoneticPr fontId="4"/>
  </si>
  <si>
    <t>32年</t>
    <rPh sb="2" eb="3">
      <t>ネン</t>
    </rPh>
    <phoneticPr fontId="4"/>
  </si>
  <si>
    <t>33年</t>
    <rPh sb="2" eb="3">
      <t>ネン</t>
    </rPh>
    <phoneticPr fontId="4"/>
  </si>
  <si>
    <t>34年</t>
    <rPh sb="2" eb="3">
      <t>ネン</t>
    </rPh>
    <phoneticPr fontId="4"/>
  </si>
  <si>
    <t>35年</t>
    <rPh sb="2" eb="3">
      <t>ネン</t>
    </rPh>
    <phoneticPr fontId="4"/>
  </si>
  <si>
    <t>　60歳に達した日後の最初の４月１日（特定日）以後、７割水準の給料月額となる場合、退職手当の基本額の計算方法の特例（いわゆる「ピーク時特例」）が適用されます。</t>
    <rPh sb="11" eb="13">
      <t>サイショ</t>
    </rPh>
    <rPh sb="15" eb="16">
      <t>ガツ</t>
    </rPh>
    <rPh sb="17" eb="18">
      <t>ニチ</t>
    </rPh>
    <rPh sb="19" eb="22">
      <t>トクテイビ</t>
    </rPh>
    <rPh sb="23" eb="25">
      <t>イゴ</t>
    </rPh>
    <rPh sb="27" eb="28">
      <t>ワリ</t>
    </rPh>
    <rPh sb="28" eb="30">
      <t>スイジュン</t>
    </rPh>
    <rPh sb="31" eb="33">
      <t>キュウリョウ</t>
    </rPh>
    <rPh sb="33" eb="35">
      <t>ゲツガク</t>
    </rPh>
    <rPh sb="38" eb="40">
      <t>バアイ</t>
    </rPh>
    <rPh sb="41" eb="43">
      <t>タイショク</t>
    </rPh>
    <rPh sb="43" eb="45">
      <t>テアテ</t>
    </rPh>
    <rPh sb="46" eb="49">
      <t>キホンガク</t>
    </rPh>
    <rPh sb="50" eb="54">
      <t>ケイサンホウホウ</t>
    </rPh>
    <rPh sb="55" eb="57">
      <t>トクレイ</t>
    </rPh>
    <rPh sb="66" eb="69">
      <t>ジトクレイ</t>
    </rPh>
    <rPh sb="72" eb="74">
      <t>テキヨウ</t>
    </rPh>
    <phoneticPr fontId="4"/>
  </si>
  <si>
    <t>特定日前
給料月額</t>
    <phoneticPr fontId="4"/>
  </si>
  <si>
    <t>退職日
給料月額</t>
    <phoneticPr fontId="4"/>
  </si>
  <si>
    <t>特定日前日
(満60歳)</t>
    <rPh sb="0" eb="3">
      <t>トクテイビ</t>
    </rPh>
    <rPh sb="3" eb="5">
      <t>ゼンジツ</t>
    </rPh>
    <rPh sb="7" eb="8">
      <t>マン</t>
    </rPh>
    <rPh sb="10" eb="11">
      <t>サイ</t>
    </rPh>
    <phoneticPr fontId="4"/>
  </si>
  <si>
    <t>退職日
(満61歳)</t>
    <rPh sb="0" eb="3">
      <t>タイショクビ</t>
    </rPh>
    <rPh sb="5" eb="6">
      <t>マン</t>
    </rPh>
    <rPh sb="8" eb="9">
      <t>サイ</t>
    </rPh>
    <phoneticPr fontId="4"/>
  </si>
  <si>
    <t>～3/31</t>
    <phoneticPr fontId="4"/>
  </si>
  <si>
    <t>4/1～</t>
    <phoneticPr fontId="4"/>
  </si>
  <si>
    <t>36年</t>
    <rPh sb="2" eb="3">
      <t>ネン</t>
    </rPh>
    <phoneticPr fontId="4"/>
  </si>
  <si>
    <t>37年</t>
    <rPh sb="2" eb="3">
      <t>ネン</t>
    </rPh>
    <phoneticPr fontId="4"/>
  </si>
  <si>
    <t>38年</t>
    <rPh sb="2" eb="3">
      <t>ネン</t>
    </rPh>
    <phoneticPr fontId="4"/>
  </si>
  <si>
    <t>【例３】給料表異動等（ベースダウンは除く）により給料月額が減額になったことがある場合</t>
    <rPh sb="1" eb="2">
      <t>レイ</t>
    </rPh>
    <rPh sb="4" eb="6">
      <t>キュウリョウ</t>
    </rPh>
    <rPh sb="6" eb="7">
      <t>ヒョウ</t>
    </rPh>
    <rPh sb="18" eb="19">
      <t>ノゾ</t>
    </rPh>
    <rPh sb="24" eb="26">
      <t>キュウリョウ</t>
    </rPh>
    <phoneticPr fontId="4"/>
  </si>
  <si>
    <t>退職前に、退職時の給料月額より高い給料月額が発令されていたことがある場合、退職手当の基本額の計算方法の特例（いわゆる「ピーク時特例」）が適用されます。</t>
    <rPh sb="0" eb="3">
      <t>タイショクマエ</t>
    </rPh>
    <rPh sb="5" eb="8">
      <t>タイショクジ</t>
    </rPh>
    <rPh sb="9" eb="13">
      <t>キュウリョウゲツガク</t>
    </rPh>
    <rPh sb="15" eb="16">
      <t>タカ</t>
    </rPh>
    <rPh sb="17" eb="19">
      <t>キュウリョウ</t>
    </rPh>
    <rPh sb="19" eb="21">
      <t>ゲツガク</t>
    </rPh>
    <rPh sb="22" eb="24">
      <t>ハツレイ</t>
    </rPh>
    <rPh sb="34" eb="36">
      <t>バアイ</t>
    </rPh>
    <rPh sb="37" eb="39">
      <t>タイショク</t>
    </rPh>
    <rPh sb="39" eb="41">
      <t>テアテ</t>
    </rPh>
    <rPh sb="42" eb="45">
      <t>キホンガク</t>
    </rPh>
    <rPh sb="46" eb="48">
      <t>ケイサン</t>
    </rPh>
    <rPh sb="48" eb="50">
      <t>ホウホウ</t>
    </rPh>
    <rPh sb="51" eb="53">
      <t>トクレイ</t>
    </rPh>
    <rPh sb="62" eb="63">
      <t>ジ</t>
    </rPh>
    <rPh sb="63" eb="65">
      <t>トクレイ</t>
    </rPh>
    <rPh sb="68" eb="70">
      <t>テキヨウ</t>
    </rPh>
    <phoneticPr fontId="4"/>
  </si>
  <si>
    <t>①基本額＝  a ピーク時の給料月額 × b ピーク時の勤続年数に対応する支給率</t>
    <rPh sb="1" eb="4">
      <t>キホンガク</t>
    </rPh>
    <rPh sb="26" eb="27">
      <t>ジ</t>
    </rPh>
    <rPh sb="28" eb="30">
      <t>キンゾク</t>
    </rPh>
    <rPh sb="30" eb="32">
      <t>ネンスウ</t>
    </rPh>
    <rPh sb="33" eb="35">
      <t>タイオウ</t>
    </rPh>
    <phoneticPr fontId="4"/>
  </si>
  <si>
    <t>a ピーク時の給料月額</t>
    <phoneticPr fontId="4"/>
  </si>
  <si>
    <t>b ピーク時の勤続年数に対応する支給率</t>
    <phoneticPr fontId="4"/>
  </si>
  <si>
    <t>c 退職時の給料月額</t>
    <phoneticPr fontId="4"/>
  </si>
  <si>
    <t>d 退職時の勤続年数に対応する支給率</t>
    <phoneticPr fontId="4"/>
  </si>
  <si>
    <t>a ピーク時の給料月額</t>
    <rPh sb="5" eb="6">
      <t>ジ</t>
    </rPh>
    <rPh sb="7" eb="9">
      <t>キュウリョウ</t>
    </rPh>
    <rPh sb="9" eb="11">
      <t>ゲツガク</t>
    </rPh>
    <phoneticPr fontId="4"/>
  </si>
  <si>
    <t>　　　　　＋　c 退職時の給料月額 ×（ d 退職時の勤続年数に対応する支給率　ー　b ）</t>
    <rPh sb="23" eb="25">
      <t>タイショク</t>
    </rPh>
    <phoneticPr fontId="4"/>
  </si>
  <si>
    <t>※ピーク時特例に該当する方も、ここにいったん入力してください。</t>
    <rPh sb="4" eb="5">
      <t>ジ</t>
    </rPh>
    <rPh sb="5" eb="7">
      <t>トクレイ</t>
    </rPh>
    <rPh sb="8" eb="10">
      <t>ガイトウ</t>
    </rPh>
    <rPh sb="12" eb="13">
      <t>カタ</t>
    </rPh>
    <rPh sb="22" eb="24">
      <t>ニュウリョク</t>
    </rPh>
    <phoneticPr fontId="4"/>
  </si>
  <si>
    <t>※ピーク時特例に該当しない方は入力不要です。</t>
    <rPh sb="4" eb="5">
      <t>ジ</t>
    </rPh>
    <rPh sb="5" eb="7">
      <t>トクレイ</t>
    </rPh>
    <rPh sb="8" eb="10">
      <t>ガイトウ</t>
    </rPh>
    <rPh sb="13" eb="14">
      <t>カタ</t>
    </rPh>
    <rPh sb="15" eb="17">
      <t>ニュウリョク</t>
    </rPh>
    <rPh sb="17" eb="19">
      <t>フヨウ</t>
    </rPh>
    <phoneticPr fontId="4"/>
  </si>
  <si>
    <r>
      <rPr>
        <sz val="11"/>
        <color theme="1"/>
        <rFont val="Yu Gothic"/>
        <family val="3"/>
        <charset val="128"/>
      </rPr>
      <t>✓</t>
    </r>
    <r>
      <rPr>
        <sz val="11"/>
        <color theme="1"/>
        <rFont val="Yu Gothic"/>
        <family val="3"/>
        <charset val="128"/>
        <scheme val="minor"/>
      </rPr>
      <t>退職事由</t>
    </r>
    <rPh sb="1" eb="3">
      <t>タイショク</t>
    </rPh>
    <rPh sb="3" eb="5">
      <t>ジユウ</t>
    </rPh>
    <phoneticPr fontId="4"/>
  </si>
  <si>
    <t>上記に入力した除算期間のうち、ピーク時までに該当する期間</t>
    <rPh sb="0" eb="2">
      <t>ジョウキ</t>
    </rPh>
    <rPh sb="3" eb="5">
      <t>ニュウリョク</t>
    </rPh>
    <rPh sb="7" eb="9">
      <t>ジョサン</t>
    </rPh>
    <rPh sb="9" eb="11">
      <t>キカン</t>
    </rPh>
    <rPh sb="18" eb="19">
      <t>ジ</t>
    </rPh>
    <rPh sb="22" eb="24">
      <t>ガイトウ</t>
    </rPh>
    <rPh sb="26" eb="28">
      <t>キカン</t>
    </rPh>
    <phoneticPr fontId="4"/>
  </si>
  <si>
    <t>①基本額（ A 退職時の給料月額 × B 支給率）</t>
    <rPh sb="1" eb="4">
      <t>キホンガク</t>
    </rPh>
    <rPh sb="8" eb="11">
      <t>タイショクジ</t>
    </rPh>
    <rPh sb="12" eb="14">
      <t>キュウリョウ</t>
    </rPh>
    <rPh sb="14" eb="16">
      <t>ゲツガク</t>
    </rPh>
    <rPh sb="21" eb="24">
      <t>シキュウリツ</t>
    </rPh>
    <phoneticPr fontId="4"/>
  </si>
  <si>
    <t>A 退職時の給料月額</t>
    <rPh sb="2" eb="5">
      <t>タイショクジ</t>
    </rPh>
    <rPh sb="6" eb="8">
      <t>キュウリョウ</t>
    </rPh>
    <rPh sb="8" eb="10">
      <t>ゲツガク</t>
    </rPh>
    <phoneticPr fontId="4"/>
  </si>
  <si>
    <t>B 支給率</t>
    <rPh sb="2" eb="5">
      <t>シキュウリツ</t>
    </rPh>
    <phoneticPr fontId="4"/>
  </si>
  <si>
    <t>　b 支給率</t>
    <rPh sb="3" eb="6">
      <t>シキュウリツ</t>
    </rPh>
    <phoneticPr fontId="4"/>
  </si>
  <si>
    <t xml:space="preserve">①基本額＝ </t>
    <rPh sb="1" eb="4">
      <t>キホンガク</t>
    </rPh>
    <phoneticPr fontId="4"/>
  </si>
  <si>
    <t>ー</t>
    <phoneticPr fontId="4"/>
  </si>
  <si>
    <t>）</t>
    <phoneticPr fontId="4"/>
  </si>
  <si>
    <t>=</t>
    <phoneticPr fontId="4"/>
  </si>
  <si>
    <t>円　×</t>
    <rPh sb="0" eb="1">
      <t>エン</t>
    </rPh>
    <phoneticPr fontId="4"/>
  </si>
  <si>
    <t xml:space="preserve">円　×　（ </t>
    <rPh sb="0" eb="1">
      <t>エン</t>
    </rPh>
    <phoneticPr fontId="4"/>
  </si>
  <si>
    <t>a×b ＋ c×(dーb)</t>
    <phoneticPr fontId="4"/>
  </si>
  <si>
    <t>月分適用＝</t>
    <rPh sb="0" eb="1">
      <t>ツキ</t>
    </rPh>
    <rPh sb="1" eb="2">
      <t>ブン</t>
    </rPh>
    <rPh sb="2" eb="4">
      <t>テキヨウ</t>
    </rPh>
    <phoneticPr fontId="4"/>
  </si>
  <si>
    <t>ピーク時特例の</t>
    <rPh sb="3" eb="6">
      <t>ジトクレイ</t>
    </rPh>
    <phoneticPr fontId="4"/>
  </si>
  <si>
    <t>①基本額＝  a ピーク時の給料月額 ×  b ピーク時の勤続年数に対応する支給率</t>
    <rPh sb="1" eb="4">
      <t>キホンガク</t>
    </rPh>
    <rPh sb="27" eb="28">
      <t>ジ</t>
    </rPh>
    <rPh sb="29" eb="31">
      <t>キンゾク</t>
    </rPh>
    <rPh sb="31" eb="33">
      <t>ネンスウ</t>
    </rPh>
    <rPh sb="34" eb="36">
      <t>タイオウ</t>
    </rPh>
    <phoneticPr fontId="4"/>
  </si>
  <si>
    <t>×</t>
    <phoneticPr fontId="4"/>
  </si>
  <si>
    <t>ー</t>
    <phoneticPr fontId="4"/>
  </si>
  <si>
    <t>）</t>
    <phoneticPr fontId="4"/>
  </si>
  <si>
    <t>　　×　（</t>
    <phoneticPr fontId="4"/>
  </si>
  <si>
    <t>＝</t>
    <phoneticPr fontId="4"/>
  </si>
  <si>
    <r>
      <t>【例１】ピーク時の勤続年数が</t>
    </r>
    <r>
      <rPr>
        <b/>
        <sz val="11"/>
        <color rgb="FFFF0000"/>
        <rFont val="Yu Gothic"/>
        <family val="3"/>
        <charset val="128"/>
        <scheme val="minor"/>
      </rPr>
      <t>３４年以下</t>
    </r>
    <r>
      <rPr>
        <b/>
        <sz val="11"/>
        <color theme="1"/>
        <rFont val="Yu Gothic"/>
        <family val="3"/>
        <charset val="128"/>
        <scheme val="minor"/>
      </rPr>
      <t>の場合（年数ごとに支給率が異なる＝基本額が定年引上げ前より増額）</t>
    </r>
    <rPh sb="1" eb="2">
      <t>レイ</t>
    </rPh>
    <rPh sb="7" eb="8">
      <t>ジ</t>
    </rPh>
    <rPh sb="9" eb="11">
      <t>キンゾク</t>
    </rPh>
    <rPh sb="11" eb="13">
      <t>ネンスウ</t>
    </rPh>
    <rPh sb="16" eb="17">
      <t>ネン</t>
    </rPh>
    <rPh sb="17" eb="19">
      <t>イカ</t>
    </rPh>
    <rPh sb="20" eb="22">
      <t>バアイ</t>
    </rPh>
    <rPh sb="23" eb="25">
      <t>ネンスウ</t>
    </rPh>
    <rPh sb="28" eb="31">
      <t>シキュウリツ</t>
    </rPh>
    <rPh sb="32" eb="33">
      <t>コト</t>
    </rPh>
    <rPh sb="36" eb="39">
      <t>キホンガク</t>
    </rPh>
    <rPh sb="40" eb="42">
      <t>テイネン</t>
    </rPh>
    <rPh sb="42" eb="43">
      <t>ヒ</t>
    </rPh>
    <rPh sb="43" eb="44">
      <t>ア</t>
    </rPh>
    <rPh sb="45" eb="46">
      <t>マエ</t>
    </rPh>
    <rPh sb="48" eb="50">
      <t>ゾウガク</t>
    </rPh>
    <phoneticPr fontId="4"/>
  </si>
  <si>
    <t>　　　　　＋　c 退職時の給料月額 ×（  d 退職時の勤続年数に対応する支給率 ー　b  ）</t>
    <rPh sb="24" eb="26">
      <t>タイショク</t>
    </rPh>
    <phoneticPr fontId="4"/>
  </si>
  <si>
    <r>
      <t>【例２】ピーク時の勤続年数が</t>
    </r>
    <r>
      <rPr>
        <b/>
        <sz val="11"/>
        <color rgb="FFFF0000"/>
        <rFont val="Yu Gothic"/>
        <family val="3"/>
        <charset val="128"/>
        <scheme val="minor"/>
      </rPr>
      <t>３５年以上</t>
    </r>
    <r>
      <rPr>
        <b/>
        <sz val="11"/>
        <color theme="1"/>
        <rFont val="Yu Gothic"/>
        <family val="3"/>
        <charset val="128"/>
        <scheme val="minor"/>
      </rPr>
      <t>の場合（支給率は最大で変わらない＝基本額は定年引上げ前と変わらない）</t>
    </r>
    <rPh sb="1" eb="2">
      <t>レイ</t>
    </rPh>
    <rPh sb="7" eb="8">
      <t>ジ</t>
    </rPh>
    <rPh sb="9" eb="11">
      <t>キンゾク</t>
    </rPh>
    <rPh sb="11" eb="13">
      <t>ネンスウ</t>
    </rPh>
    <rPh sb="16" eb="17">
      <t>ネン</t>
    </rPh>
    <rPh sb="17" eb="19">
      <t>イジョウ</t>
    </rPh>
    <rPh sb="20" eb="22">
      <t>バアイ</t>
    </rPh>
    <rPh sb="23" eb="26">
      <t>シキュウリツ</t>
    </rPh>
    <rPh sb="27" eb="29">
      <t>サイダイ</t>
    </rPh>
    <rPh sb="30" eb="31">
      <t>カ</t>
    </rPh>
    <rPh sb="36" eb="39">
      <t>キホンガク</t>
    </rPh>
    <rPh sb="40" eb="42">
      <t>テイネン</t>
    </rPh>
    <rPh sb="42" eb="43">
      <t>ヒ</t>
    </rPh>
    <rPh sb="43" eb="44">
      <t>ア</t>
    </rPh>
    <rPh sb="45" eb="46">
      <t>マエ</t>
    </rPh>
    <rPh sb="47" eb="48">
      <t>カ</t>
    </rPh>
    <phoneticPr fontId="4"/>
  </si>
  <si>
    <t>39年</t>
    <rPh sb="2" eb="3">
      <t>ネン</t>
    </rPh>
    <phoneticPr fontId="4"/>
  </si>
  <si>
    <t>40年</t>
    <rPh sb="2" eb="3">
      <t>ネン</t>
    </rPh>
    <phoneticPr fontId="4"/>
  </si>
  <si>
    <t>特定減額日の前日</t>
    <rPh sb="0" eb="2">
      <t>トクテイ</t>
    </rPh>
    <rPh sb="2" eb="4">
      <t>ゲンガク</t>
    </rPh>
    <rPh sb="4" eb="5">
      <t>ビ</t>
    </rPh>
    <rPh sb="6" eb="8">
      <t>ゼンジツ</t>
    </rPh>
    <phoneticPr fontId="4"/>
  </si>
  <si>
    <t>"=0"なので、基本額は定年引上げ前と変わらない結果となる</t>
    <rPh sb="8" eb="11">
      <t>キホンガク</t>
    </rPh>
    <rPh sb="24" eb="26">
      <t>ケッカ</t>
    </rPh>
    <phoneticPr fontId="4"/>
  </si>
  <si>
    <t>特定減額日
給料月額</t>
    <rPh sb="2" eb="4">
      <t>ゲンガク</t>
    </rPh>
    <phoneticPr fontId="4"/>
  </si>
  <si>
    <r>
      <t>特定減額</t>
    </r>
    <r>
      <rPr>
        <b/>
        <sz val="8"/>
        <color theme="1"/>
        <rFont val="Yu Gothic"/>
        <family val="3"/>
        <charset val="128"/>
        <scheme val="minor"/>
      </rPr>
      <t>前</t>
    </r>
    <r>
      <rPr>
        <sz val="8"/>
        <color theme="1"/>
        <rFont val="Yu Gothic"/>
        <family val="2"/>
        <scheme val="minor"/>
      </rPr>
      <t xml:space="preserve">
給料月額</t>
    </r>
    <rPh sb="2" eb="4">
      <t>ゲンガク</t>
    </rPh>
    <phoneticPr fontId="4"/>
  </si>
  <si>
    <t>参考「支給率」シート</t>
    <rPh sb="0" eb="2">
      <t>サンコウ</t>
    </rPh>
    <rPh sb="3" eb="6">
      <t>シキュウリツ</t>
    </rPh>
    <phoneticPr fontId="4"/>
  </si>
  <si>
    <t>参考「ピーク時特例」シート</t>
    <rPh sb="0" eb="2">
      <t>サンコウ</t>
    </rPh>
    <rPh sb="6" eb="7">
      <t>ジ</t>
    </rPh>
    <rPh sb="7" eb="9">
      <t>トクレイ</t>
    </rPh>
    <phoneticPr fontId="4"/>
  </si>
  <si>
    <t>(満60歳)</t>
    <phoneticPr fontId="4"/>
  </si>
  <si>
    <t>〇除算する期間</t>
    <rPh sb="1" eb="3">
      <t>ジョサン</t>
    </rPh>
    <rPh sb="5" eb="7">
      <t>キカン</t>
    </rPh>
    <phoneticPr fontId="4"/>
  </si>
  <si>
    <t>事由</t>
    <rPh sb="0" eb="2">
      <t>ジユウ</t>
    </rPh>
    <phoneticPr fontId="4"/>
  </si>
  <si>
    <t>自己啓発等休業</t>
    <rPh sb="0" eb="2">
      <t>ジコ</t>
    </rPh>
    <rPh sb="2" eb="4">
      <t>ケイハツ</t>
    </rPh>
    <rPh sb="4" eb="5">
      <t>トウ</t>
    </rPh>
    <rPh sb="5" eb="7">
      <t>キュウギョウ</t>
    </rPh>
    <phoneticPr fontId="4"/>
  </si>
  <si>
    <t>育児休業</t>
    <rPh sb="0" eb="2">
      <t>イクジ</t>
    </rPh>
    <rPh sb="2" eb="4">
      <t>キュウギョウ</t>
    </rPh>
    <phoneticPr fontId="4"/>
  </si>
  <si>
    <t>育児短時間勤務</t>
    <rPh sb="0" eb="2">
      <t>イクジ</t>
    </rPh>
    <rPh sb="2" eb="5">
      <t>タンジカン</t>
    </rPh>
    <rPh sb="5" eb="7">
      <t>キンム</t>
    </rPh>
    <phoneticPr fontId="4"/>
  </si>
  <si>
    <t>〇</t>
    <phoneticPr fontId="4"/>
  </si>
  <si>
    <t>全期間除算</t>
    <rPh sb="0" eb="1">
      <t>ゼン</t>
    </rPh>
    <rPh sb="1" eb="3">
      <t>キカン</t>
    </rPh>
    <rPh sb="3" eb="5">
      <t>ジョサン</t>
    </rPh>
    <phoneticPr fontId="4"/>
  </si>
  <si>
    <r>
      <t>大学院修学休業</t>
    </r>
    <r>
      <rPr>
        <sz val="8"/>
        <color theme="1"/>
        <rFont val="Yu Gothic"/>
        <family val="3"/>
        <charset val="128"/>
        <scheme val="minor"/>
      </rPr>
      <t>（教育公務員特例法第26条第１項の規定による休業）</t>
    </r>
    <rPh sb="0" eb="3">
      <t>ダイガクイン</t>
    </rPh>
    <rPh sb="3" eb="5">
      <t>シュウガク</t>
    </rPh>
    <rPh sb="5" eb="7">
      <t>キュウギョウ</t>
    </rPh>
    <rPh sb="8" eb="10">
      <t>キョウイク</t>
    </rPh>
    <rPh sb="10" eb="13">
      <t>コウムイン</t>
    </rPh>
    <rPh sb="13" eb="16">
      <t>トクレイホウ</t>
    </rPh>
    <rPh sb="29" eb="31">
      <t>キュウギョウ</t>
    </rPh>
    <phoneticPr fontId="4"/>
  </si>
  <si>
    <r>
      <rPr>
        <b/>
        <sz val="11"/>
        <color theme="1"/>
        <rFont val="Yu Gothic"/>
        <family val="3"/>
        <charset val="128"/>
        <scheme val="minor"/>
      </rPr>
      <t>停職</t>
    </r>
    <r>
      <rPr>
        <sz val="8"/>
        <color theme="1"/>
        <rFont val="Yu Gothic"/>
        <family val="3"/>
        <charset val="128"/>
        <scheme val="minor"/>
      </rPr>
      <t>（地方公務員法第29条の規定による停職）</t>
    </r>
    <rPh sb="0" eb="2">
      <t>テイショク</t>
    </rPh>
    <rPh sb="19" eb="21">
      <t>テイショク</t>
    </rPh>
    <phoneticPr fontId="4"/>
  </si>
  <si>
    <r>
      <rPr>
        <b/>
        <sz val="11"/>
        <color theme="1"/>
        <rFont val="Yu Gothic"/>
        <family val="3"/>
        <charset val="128"/>
        <scheme val="minor"/>
      </rPr>
      <t>分限休職</t>
    </r>
    <r>
      <rPr>
        <sz val="8"/>
        <color theme="1"/>
        <rFont val="Yu Gothic"/>
        <family val="3"/>
        <charset val="128"/>
        <scheme val="minor"/>
      </rPr>
      <t>（地方公務員法第28条第２項の規定による分限休職（公務上場合を除く））</t>
    </r>
    <rPh sb="0" eb="2">
      <t>ブンゲン</t>
    </rPh>
    <rPh sb="2" eb="4">
      <t>キュウショク</t>
    </rPh>
    <rPh sb="24" eb="26">
      <t>ブンゲン</t>
    </rPh>
    <rPh sb="26" eb="28">
      <t>キュウショク</t>
    </rPh>
    <rPh sb="29" eb="32">
      <t>コウムジョウ</t>
    </rPh>
    <rPh sb="32" eb="34">
      <t>バアイ</t>
    </rPh>
    <rPh sb="35" eb="36">
      <t>ノゾ</t>
    </rPh>
    <phoneticPr fontId="4"/>
  </si>
  <si>
    <r>
      <rPr>
        <b/>
        <sz val="11"/>
        <color theme="1"/>
        <rFont val="Yu Gothic"/>
        <family val="3"/>
        <charset val="128"/>
        <scheme val="minor"/>
      </rPr>
      <t>専従休職</t>
    </r>
    <r>
      <rPr>
        <sz val="8"/>
        <color theme="1"/>
        <rFont val="Yu Gothic"/>
        <family val="3"/>
        <charset val="128"/>
        <scheme val="minor"/>
      </rPr>
      <t>（地方公務員法第55条の２の規定による専従休職）</t>
    </r>
    <rPh sb="5" eb="7">
      <t>チホウ</t>
    </rPh>
    <rPh sb="7" eb="11">
      <t>コウムインホウ</t>
    </rPh>
    <rPh sb="11" eb="12">
      <t>ダイ</t>
    </rPh>
    <rPh sb="14" eb="15">
      <t>ジョウ</t>
    </rPh>
    <rPh sb="18" eb="20">
      <t>キテイ</t>
    </rPh>
    <rPh sb="23" eb="25">
      <t>センジュウ</t>
    </rPh>
    <rPh sb="25" eb="27">
      <t>キュウショク</t>
    </rPh>
    <phoneticPr fontId="4"/>
  </si>
  <si>
    <t>配偶者同行休業</t>
    <rPh sb="0" eb="3">
      <t>ハイグウシャ</t>
    </rPh>
    <rPh sb="3" eb="5">
      <t>ドウコウ</t>
    </rPh>
    <rPh sb="5" eb="7">
      <t>キュウギョウ</t>
    </rPh>
    <phoneticPr fontId="4"/>
  </si>
  <si>
    <r>
      <t>〇</t>
    </r>
    <r>
      <rPr>
        <sz val="9"/>
        <color theme="1"/>
        <rFont val="Yu Gothic"/>
        <family val="3"/>
        <charset val="128"/>
        <scheme val="minor"/>
      </rPr>
      <t>（子が１歳に達した日の属する月まで）</t>
    </r>
    <rPh sb="2" eb="3">
      <t>コ</t>
    </rPh>
    <rPh sb="5" eb="6">
      <t>サイ</t>
    </rPh>
    <rPh sb="7" eb="8">
      <t>タッ</t>
    </rPh>
    <rPh sb="10" eb="11">
      <t>ヒ</t>
    </rPh>
    <rPh sb="12" eb="13">
      <t>ゾク</t>
    </rPh>
    <rPh sb="15" eb="16">
      <t>ツキ</t>
    </rPh>
    <phoneticPr fontId="4"/>
  </si>
  <si>
    <r>
      <t>〇</t>
    </r>
    <r>
      <rPr>
        <sz val="9"/>
        <color theme="1"/>
        <rFont val="Yu Gothic"/>
        <family val="3"/>
        <charset val="128"/>
        <scheme val="minor"/>
      </rPr>
      <t>（子が１歳に達した日の属する月の翌月から）</t>
    </r>
    <rPh sb="2" eb="3">
      <t>コ</t>
    </rPh>
    <rPh sb="5" eb="6">
      <t>サイ</t>
    </rPh>
    <rPh sb="7" eb="8">
      <t>タッ</t>
    </rPh>
    <rPh sb="10" eb="11">
      <t>ヒ</t>
    </rPh>
    <rPh sb="12" eb="13">
      <t>ゾク</t>
    </rPh>
    <rPh sb="15" eb="16">
      <t>ツキ</t>
    </rPh>
    <rPh sb="17" eb="18">
      <t>ヨク</t>
    </rPh>
    <rPh sb="18" eb="19">
      <t>ツキ</t>
    </rPh>
    <phoneticPr fontId="4"/>
  </si>
  <si>
    <t>↓以下の例は典型的な例として掲載しています。個別の履歴によって様々なケースがありますのでご留意ください。</t>
    <rPh sb="1" eb="3">
      <t>イカ</t>
    </rPh>
    <rPh sb="4" eb="5">
      <t>レイ</t>
    </rPh>
    <rPh sb="6" eb="9">
      <t>テンケイテキ</t>
    </rPh>
    <rPh sb="10" eb="11">
      <t>レイ</t>
    </rPh>
    <rPh sb="14" eb="16">
      <t>ケイサイ</t>
    </rPh>
    <rPh sb="22" eb="24">
      <t>コベツ</t>
    </rPh>
    <rPh sb="25" eb="27">
      <t>リレキ</t>
    </rPh>
    <rPh sb="31" eb="33">
      <t>サマザマ</t>
    </rPh>
    <rPh sb="45" eb="47">
      <t>リュウイ</t>
    </rPh>
    <phoneticPr fontId="4"/>
  </si>
  <si>
    <r>
      <t>(5)退職手当</t>
    </r>
    <r>
      <rPr>
        <b/>
        <sz val="11"/>
        <color theme="1"/>
        <rFont val="Yu Gothic"/>
        <family val="3"/>
        <charset val="128"/>
        <scheme val="minor"/>
      </rPr>
      <t>「基本額」</t>
    </r>
    <r>
      <rPr>
        <sz val="11"/>
        <color theme="1"/>
        <rFont val="Yu Gothic"/>
        <family val="2"/>
        <scheme val="minor"/>
      </rPr>
      <t>＝</t>
    </r>
    <rPh sb="3" eb="5">
      <t>タイショク</t>
    </rPh>
    <rPh sb="5" eb="7">
      <t>テアテ</t>
    </rPh>
    <rPh sb="8" eb="11">
      <t>キホンガク</t>
    </rPh>
    <phoneticPr fontId="4"/>
  </si>
  <si>
    <t>（入力欄）</t>
    <rPh sb="1" eb="4">
      <t>ニュウリョクラン</t>
    </rPh>
    <phoneticPr fontId="4"/>
  </si>
  <si>
    <t>：下の薄緑、太枠のセルが入力欄です。</t>
    <rPh sb="1" eb="2">
      <t>シタ</t>
    </rPh>
    <rPh sb="3" eb="5">
      <t>ウスミドリ</t>
    </rPh>
    <rPh sb="6" eb="8">
      <t>フトワク</t>
    </rPh>
    <rPh sb="12" eb="14">
      <t>ニュウリョク</t>
    </rPh>
    <rPh sb="14" eb="15">
      <t>ラン</t>
    </rPh>
    <phoneticPr fontId="4"/>
  </si>
  <si>
    <t>※退職手当額が退職所得控除額に満たない場合は、徴収税額はありません。</t>
    <rPh sb="1" eb="3">
      <t>タイショク</t>
    </rPh>
    <rPh sb="3" eb="5">
      <t>テアテ</t>
    </rPh>
    <rPh sb="5" eb="6">
      <t>ガク</t>
    </rPh>
    <rPh sb="7" eb="9">
      <t>タイショク</t>
    </rPh>
    <rPh sb="9" eb="11">
      <t>ショトク</t>
    </rPh>
    <rPh sb="11" eb="14">
      <t>コウジョガク</t>
    </rPh>
    <rPh sb="15" eb="16">
      <t>ミ</t>
    </rPh>
    <rPh sb="19" eb="21">
      <t>バアイ</t>
    </rPh>
    <rPh sb="23" eb="25">
      <t>チョウシュウ</t>
    </rPh>
    <rPh sb="25" eb="27">
      <t>ゼイガク</t>
    </rPh>
    <phoneticPr fontId="4"/>
  </si>
  <si>
    <t>控除額</t>
    <rPh sb="0" eb="2">
      <t>コウジョ</t>
    </rPh>
    <rPh sb="2" eb="3">
      <t>ガク</t>
    </rPh>
    <phoneticPr fontId="8"/>
  </si>
  <si>
    <t>・この簡易試算シートでは、ざっくりと金額の規模感を把握することができます。（当然ながら詳細な計算結果と異なることがあります。）</t>
    <rPh sb="3" eb="5">
      <t>カンイ</t>
    </rPh>
    <rPh sb="5" eb="7">
      <t>シサン</t>
    </rPh>
    <rPh sb="25" eb="27">
      <t>ハアク</t>
    </rPh>
    <rPh sb="38" eb="40">
      <t>トウゼン</t>
    </rPh>
    <rPh sb="43" eb="45">
      <t>ショウサイ</t>
    </rPh>
    <rPh sb="46" eb="48">
      <t>ケイサン</t>
    </rPh>
    <rPh sb="48" eb="50">
      <t>ケッカ</t>
    </rPh>
    <rPh sb="51" eb="52">
      <t>コト</t>
    </rPh>
    <phoneticPr fontId="4"/>
  </si>
  <si>
    <t>　　除算期間（ピーク時まで）</t>
    <rPh sb="2" eb="4">
      <t>ジョサン</t>
    </rPh>
    <rPh sb="4" eb="6">
      <t>キカン</t>
    </rPh>
    <rPh sb="10" eb="11">
      <t>ジ</t>
    </rPh>
    <phoneticPr fontId="4"/>
  </si>
  <si>
    <t>・正確な金額を算出するには、履歴等の詳細な確認を要し、個々人によりパターンもより多岐に渡ります。</t>
    <rPh sb="1" eb="3">
      <t>セイカク</t>
    </rPh>
    <rPh sb="4" eb="6">
      <t>キンガク</t>
    </rPh>
    <rPh sb="7" eb="9">
      <t>サンシュツ</t>
    </rPh>
    <rPh sb="14" eb="16">
      <t>リレキ</t>
    </rPh>
    <rPh sb="16" eb="17">
      <t>トウ</t>
    </rPh>
    <rPh sb="18" eb="20">
      <t>ショウサイ</t>
    </rPh>
    <rPh sb="21" eb="23">
      <t>カクニン</t>
    </rPh>
    <rPh sb="24" eb="25">
      <t>ヨウ</t>
    </rPh>
    <rPh sb="27" eb="30">
      <t>ココジン</t>
    </rPh>
    <rPh sb="40" eb="42">
      <t>タキ</t>
    </rPh>
    <rPh sb="43" eb="44">
      <t>ワタ</t>
    </rPh>
    <phoneticPr fontId="4"/>
  </si>
  <si>
    <t>減額日前日</t>
    <rPh sb="0" eb="2">
      <t>ゲンガク</t>
    </rPh>
    <rPh sb="2" eb="3">
      <t>ビ</t>
    </rPh>
    <rPh sb="3" eb="5">
      <t>ゼンジツ</t>
    </rPh>
    <phoneticPr fontId="4"/>
  </si>
  <si>
    <t>行 政 職
給 料 表</t>
    <rPh sb="0" eb="1">
      <t>ギョウ</t>
    </rPh>
    <rPh sb="2" eb="3">
      <t>セイ</t>
    </rPh>
    <rPh sb="4" eb="5">
      <t>ショク</t>
    </rPh>
    <phoneticPr fontId="8"/>
  </si>
  <si>
    <t>円　（円未満切り捨て）</t>
    <rPh sb="0" eb="1">
      <t>エン</t>
    </rPh>
    <phoneticPr fontId="4"/>
  </si>
  <si>
    <t>年</t>
    <rPh sb="0" eb="1">
      <t>ネン</t>
    </rPh>
    <phoneticPr fontId="4"/>
  </si>
  <si>
    <t>税法上の勤続年数</t>
    <rPh sb="0" eb="3">
      <t>ゼイホウジョウ</t>
    </rPh>
    <rPh sb="4" eb="6">
      <t>キンゾク</t>
    </rPh>
    <rPh sb="6" eb="8">
      <t>ネンスウ</t>
    </rPh>
    <phoneticPr fontId="4"/>
  </si>
  <si>
    <t>勤続期間</t>
    <rPh sb="0" eb="2">
      <t>キンゾク</t>
    </rPh>
    <rPh sb="2" eb="4">
      <t>キカン</t>
    </rPh>
    <phoneticPr fontId="4"/>
  </si>
  <si>
    <t>自己都合退職</t>
    <rPh sb="0" eb="2">
      <t>ジコ</t>
    </rPh>
    <rPh sb="2" eb="4">
      <t>ツゴウ</t>
    </rPh>
    <rPh sb="4" eb="6">
      <t>タイショク</t>
    </rPh>
    <phoneticPr fontId="4"/>
  </si>
  <si>
    <t>自己都合以外の退職</t>
    <rPh sb="0" eb="2">
      <t>ジコ</t>
    </rPh>
    <rPh sb="2" eb="4">
      <t>ツゴウ</t>
    </rPh>
    <rPh sb="4" eb="6">
      <t>イガイ</t>
    </rPh>
    <rPh sb="7" eb="9">
      <t>タイショク</t>
    </rPh>
    <phoneticPr fontId="4"/>
  </si>
  <si>
    <t>４年以下</t>
    <rPh sb="1" eb="2">
      <t>ネン</t>
    </rPh>
    <rPh sb="2" eb="4">
      <t>イカ</t>
    </rPh>
    <phoneticPr fontId="4"/>
  </si>
  <si>
    <t>５年以上９年以下</t>
    <rPh sb="1" eb="2">
      <t>ネン</t>
    </rPh>
    <rPh sb="2" eb="4">
      <t>イジョウ</t>
    </rPh>
    <rPh sb="5" eb="6">
      <t>ネン</t>
    </rPh>
    <rPh sb="6" eb="8">
      <t>イカ</t>
    </rPh>
    <phoneticPr fontId="4"/>
  </si>
  <si>
    <t>１０年以上２４年以下</t>
    <rPh sb="2" eb="3">
      <t>ネン</t>
    </rPh>
    <rPh sb="3" eb="5">
      <t>イジョウ</t>
    </rPh>
    <rPh sb="7" eb="8">
      <t>ネン</t>
    </rPh>
    <rPh sb="8" eb="10">
      <t>イカ</t>
    </rPh>
    <phoneticPr fontId="4"/>
  </si>
  <si>
    <t>２５年以上</t>
    <rPh sb="2" eb="3">
      <t>ネン</t>
    </rPh>
    <rPh sb="3" eb="5">
      <t>イジョウ</t>
    </rPh>
    <phoneticPr fontId="4"/>
  </si>
  <si>
    <t>ゼロ</t>
    <phoneticPr fontId="4"/>
  </si>
  <si>
    <t>２分の１加算</t>
    <rPh sb="1" eb="2">
      <t>ブン</t>
    </rPh>
    <rPh sb="4" eb="6">
      <t>カサン</t>
    </rPh>
    <phoneticPr fontId="4"/>
  </si>
  <si>
    <t>※勤続年数及び退職事由によって調整額が一部制限されます。</t>
    <phoneticPr fontId="4"/>
  </si>
  <si>
    <t>　　　　　　　　　全額加算</t>
    <phoneticPr fontId="4"/>
  </si>
  <si>
    <r>
      <t>月　</t>
    </r>
    <r>
      <rPr>
        <sz val="8"/>
        <color rgb="FFFF0000"/>
        <rFont val="Yu Gothic"/>
        <family val="3"/>
        <charset val="128"/>
        <scheme val="minor"/>
      </rPr>
      <t>区分ごとに端数切り上げ</t>
    </r>
    <rPh sb="0" eb="1">
      <t>ツキ</t>
    </rPh>
    <rPh sb="2" eb="4">
      <t>クブン</t>
    </rPh>
    <rPh sb="7" eb="9">
      <t>ハスウ</t>
    </rPh>
    <rPh sb="9" eb="10">
      <t>キ</t>
    </rPh>
    <rPh sb="11" eb="12">
      <t>ア</t>
    </rPh>
    <phoneticPr fontId="4"/>
  </si>
  <si>
    <t>年(税法上)</t>
    <rPh sb="0" eb="1">
      <t>ネン</t>
    </rPh>
    <rPh sb="2" eb="5">
      <t>ゼイホウジョウ</t>
    </rPh>
    <phoneticPr fontId="4"/>
  </si>
  <si>
    <t>調整額の簡易確認表（教育職員用）</t>
    <rPh sb="0" eb="3">
      <t>チョウセイガク</t>
    </rPh>
    <rPh sb="4" eb="6">
      <t>カンイ</t>
    </rPh>
    <rPh sb="6" eb="8">
      <t>カクニン</t>
    </rPh>
    <rPh sb="8" eb="9">
      <t>ヒョウ</t>
    </rPh>
    <rPh sb="10" eb="14">
      <t>キョウイクショクイン</t>
    </rPh>
    <rPh sb="14" eb="15">
      <t>ヨウ</t>
    </rPh>
    <phoneticPr fontId="8"/>
  </si>
  <si>
    <t>のセルを入力してください。</t>
    <rPh sb="4" eb="6">
      <t>ニュウリョク</t>
    </rPh>
    <phoneticPr fontId="8"/>
  </si>
  <si>
    <t>No</t>
    <phoneticPr fontId="8"/>
  </si>
  <si>
    <t>年</t>
    <rPh sb="0" eb="1">
      <t>ネン</t>
    </rPh>
    <phoneticPr fontId="8"/>
  </si>
  <si>
    <t>月</t>
    <rPh sb="0" eb="1">
      <t>ツキ</t>
    </rPh>
    <phoneticPr fontId="8"/>
  </si>
  <si>
    <t>経験年</t>
    <rPh sb="0" eb="2">
      <t>ケイケン</t>
    </rPh>
    <rPh sb="2" eb="3">
      <t>ドシ</t>
    </rPh>
    <phoneticPr fontId="8"/>
  </si>
  <si>
    <t>給料の級</t>
    <rPh sb="0" eb="2">
      <t>キュウリョウ</t>
    </rPh>
    <rPh sb="3" eb="4">
      <t>キュウ</t>
    </rPh>
    <phoneticPr fontId="8"/>
  </si>
  <si>
    <t>加算割合</t>
    <rPh sb="0" eb="4">
      <t>カサンワリアイ</t>
    </rPh>
    <phoneticPr fontId="8"/>
  </si>
  <si>
    <t>特別調整額</t>
    <rPh sb="0" eb="4">
      <t>トクベツチョウセイ</t>
    </rPh>
    <rPh sb="4" eb="5">
      <t>ガク</t>
    </rPh>
    <phoneticPr fontId="8"/>
  </si>
  <si>
    <t>調整額</t>
    <rPh sb="0" eb="3">
      <t>チョウセイガク</t>
    </rPh>
    <phoneticPr fontId="8"/>
  </si>
  <si>
    <t>採用年月日</t>
    <rPh sb="0" eb="2">
      <t>サイヨウ</t>
    </rPh>
    <rPh sb="2" eb="5">
      <t>ネンガッピ</t>
    </rPh>
    <phoneticPr fontId="8"/>
  </si>
  <si>
    <t>退職年月日</t>
    <rPh sb="0" eb="2">
      <t>タイショク</t>
    </rPh>
    <rPh sb="2" eb="5">
      <t>ネンガッピ</t>
    </rPh>
    <phoneticPr fontId="8"/>
  </si>
  <si>
    <t>在職年数</t>
    <rPh sb="0" eb="2">
      <t>ザイショク</t>
    </rPh>
    <rPh sb="2" eb="3">
      <t>ネン</t>
    </rPh>
    <rPh sb="3" eb="4">
      <t>スウ</t>
    </rPh>
    <phoneticPr fontId="8"/>
  </si>
  <si>
    <t>在職月数</t>
    <rPh sb="0" eb="2">
      <t>ザイショク</t>
    </rPh>
    <rPh sb="2" eb="3">
      <t>ツキ</t>
    </rPh>
    <rPh sb="3" eb="4">
      <t>スウ</t>
    </rPh>
    <phoneticPr fontId="8"/>
  </si>
  <si>
    <t>最終学歴</t>
    <rPh sb="0" eb="4">
      <t>サイシュウガクレキ</t>
    </rPh>
    <phoneticPr fontId="8"/>
  </si>
  <si>
    <t>大学4卒</t>
    <rPh sb="0" eb="2">
      <t>ダイガク</t>
    </rPh>
    <rPh sb="3" eb="4">
      <t>ソツ</t>
    </rPh>
    <phoneticPr fontId="8"/>
  </si>
  <si>
    <t>▼選択</t>
    <rPh sb="1" eb="3">
      <t>センタク</t>
    </rPh>
    <phoneticPr fontId="8"/>
  </si>
  <si>
    <t>調整額区分</t>
    <rPh sb="0" eb="3">
      <t>チョウセイガク</t>
    </rPh>
    <rPh sb="3" eb="5">
      <t>クブン</t>
    </rPh>
    <phoneticPr fontId="8"/>
  </si>
  <si>
    <t>No1～No60月数</t>
    <rPh sb="8" eb="10">
      <t>ツキスウ</t>
    </rPh>
    <phoneticPr fontId="8"/>
  </si>
  <si>
    <t>調整月数</t>
    <rPh sb="0" eb="2">
      <t>チョウセイ</t>
    </rPh>
    <rPh sb="2" eb="4">
      <t>ツキスウ</t>
    </rPh>
    <phoneticPr fontId="8"/>
  </si>
  <si>
    <t>短大2卒</t>
    <rPh sb="0" eb="2">
      <t>タンダイ</t>
    </rPh>
    <rPh sb="3" eb="4">
      <t>ソツ</t>
    </rPh>
    <phoneticPr fontId="8"/>
  </si>
  <si>
    <t>合計月数</t>
    <rPh sb="0" eb="2">
      <t>ゴウケイ</t>
    </rPh>
    <rPh sb="2" eb="4">
      <t>ツキスウ</t>
    </rPh>
    <phoneticPr fontId="8"/>
  </si>
  <si>
    <t>第１号</t>
    <rPh sb="0" eb="1">
      <t>ダイ</t>
    </rPh>
    <rPh sb="2" eb="3">
      <t>ゴウ</t>
    </rPh>
    <phoneticPr fontId="8"/>
  </si>
  <si>
    <t>高校卒</t>
    <rPh sb="0" eb="3">
      <t>コウコウソツ</t>
    </rPh>
    <phoneticPr fontId="8"/>
  </si>
  <si>
    <t>第２号</t>
    <rPh sb="0" eb="1">
      <t>ダイ</t>
    </rPh>
    <rPh sb="2" eb="3">
      <t>ゴウ</t>
    </rPh>
    <phoneticPr fontId="8"/>
  </si>
  <si>
    <t>第３号</t>
    <rPh sb="0" eb="1">
      <t>ダイ</t>
    </rPh>
    <rPh sb="2" eb="3">
      <t>ゴウ</t>
    </rPh>
    <phoneticPr fontId="8"/>
  </si>
  <si>
    <t>第４号</t>
    <rPh sb="0" eb="1">
      <t>ダイ</t>
    </rPh>
    <rPh sb="2" eb="3">
      <t>ゴウ</t>
    </rPh>
    <phoneticPr fontId="8"/>
  </si>
  <si>
    <t>第５号</t>
    <rPh sb="0" eb="1">
      <t>ダイ</t>
    </rPh>
    <rPh sb="2" eb="3">
      <t>ゴウ</t>
    </rPh>
    <phoneticPr fontId="8"/>
  </si>
  <si>
    <t>第６号</t>
    <rPh sb="0" eb="1">
      <t>ダイ</t>
    </rPh>
    <rPh sb="2" eb="3">
      <t>ゴウ</t>
    </rPh>
    <phoneticPr fontId="8"/>
  </si>
  <si>
    <t>第７号</t>
    <rPh sb="0" eb="1">
      <t>ダイ</t>
    </rPh>
    <rPh sb="2" eb="3">
      <t>ゴウ</t>
    </rPh>
    <phoneticPr fontId="8"/>
  </si>
  <si>
    <t>第８号</t>
    <rPh sb="0" eb="1">
      <t>ダイ</t>
    </rPh>
    <rPh sb="2" eb="3">
      <t>ゴウ</t>
    </rPh>
    <phoneticPr fontId="8"/>
  </si>
  <si>
    <t>※最大60月まで</t>
    <rPh sb="1" eb="3">
      <t>サイダイ</t>
    </rPh>
    <rPh sb="5" eb="6">
      <t>ツキ</t>
    </rPh>
    <phoneticPr fontId="4"/>
  </si>
  <si>
    <t>年</t>
    <rPh sb="0" eb="1">
      <t>ネン</t>
    </rPh>
    <phoneticPr fontId="4"/>
  </si>
  <si>
    <t>月</t>
    <rPh sb="0" eb="1">
      <t>ツキ</t>
    </rPh>
    <phoneticPr fontId="4"/>
  </si>
  <si>
    <t>＋</t>
    <phoneticPr fontId="4"/>
  </si>
  <si>
    <r>
      <t>・以上を踏まえて、ご自身の退職手当額の規模感を掴むなど、</t>
    </r>
    <r>
      <rPr>
        <b/>
        <sz val="11"/>
        <color rgb="FFFF0000"/>
        <rFont val="HG丸ｺﾞｼｯｸM-PRO"/>
        <family val="3"/>
        <charset val="128"/>
      </rPr>
      <t>参考程度でご活用ください。</t>
    </r>
    <rPh sb="1" eb="3">
      <t>イジョウ</t>
    </rPh>
    <rPh sb="4" eb="5">
      <t>フ</t>
    </rPh>
    <rPh sb="10" eb="12">
      <t>ジシン</t>
    </rPh>
    <rPh sb="13" eb="15">
      <t>タイショク</t>
    </rPh>
    <rPh sb="15" eb="17">
      <t>テアテ</t>
    </rPh>
    <rPh sb="17" eb="18">
      <t>ガク</t>
    </rPh>
    <rPh sb="19" eb="22">
      <t>キボカン</t>
    </rPh>
    <rPh sb="23" eb="24">
      <t>ツカ</t>
    </rPh>
    <rPh sb="28" eb="30">
      <t>サンコウ</t>
    </rPh>
    <rPh sb="30" eb="32">
      <t>テイド</t>
    </rPh>
    <rPh sb="34" eb="36">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</si>
</sst>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000000_ "/>
    <numFmt numFmtId="177" formatCode="#,##0_ ;[Red]\-#,##0\ "/>
    <numFmt numFmtId="178" formatCode="#,##0_ "/>
    <numFmt numFmtId="179" formatCode="&quot;第&quot;0&quot;号区分&quot;"/>
    <numFmt numFmtId="180" formatCode="&quot;第&quot;0&quot;号区分:70,400円&quot;"/>
    <numFmt numFmtId="181" formatCode="&quot;第&quot;0&quot;号区分:65,000円&quot;"/>
    <numFmt numFmtId="182" formatCode="&quot;第&quot;0&quot;号区分:59,550円&quot;"/>
    <numFmt numFmtId="183" formatCode="&quot;第&quot;0&quot;号区分:54,150円&quot;"/>
    <numFmt numFmtId="184" formatCode="&quot;第&quot;0&quot;号区分:43,350円&quot;"/>
    <numFmt numFmtId="185" formatCode="&quot;第&quot;0&quot;号区分:32,500円&quot;"/>
    <numFmt numFmtId="186" formatCode="&quot;第&quot;0&quot;号区分:27,100円&quot;"/>
    <numFmt numFmtId="187" formatCode="&quot;第&quot;0&quot;号区分:21,700円&quot;"/>
    <numFmt numFmtId="188" formatCode="&quot;第&quot;0&quot;号区分:        0円&quot;"/>
    <numFmt numFmtId="189" formatCode="#,##0;&quot;△ &quot;#,##0"/>
    <numFmt numFmtId="190" formatCode="0.0_ "/>
    <numFmt numFmtId="191" formatCode="0&quot;年&quot;"/>
    <numFmt numFmtId="192" formatCode="#,##0&quot;円&quot;"/>
    <numFmt numFmtId="193" formatCode="[$-411]ge\.m\.d;@"/>
    <numFmt numFmtId="194" formatCode="&quot;第&quot;0&quot;号&quot;"/>
  </numFmts>
  <fonts count="6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11"/>
      <color theme="0" tint="-0.34998626667073579"/>
      <name val="Yu Gothic"/>
      <family val="2"/>
      <scheme val="minor"/>
    </font>
    <font>
      <sz val="11"/>
      <color theme="0" tint="-0.34998626667073579"/>
      <name val="Yu Gothic"/>
      <family val="3"/>
      <charset val="128"/>
      <scheme val="minor"/>
    </font>
    <font>
      <b/>
      <sz val="16"/>
      <color theme="1"/>
      <name val="Yu Gothic"/>
      <family val="3"/>
      <charset val="128"/>
      <scheme val="minor"/>
    </font>
    <font>
      <sz val="6"/>
      <name val="Yu Gothic"/>
      <family val="2"/>
      <charset val="128"/>
      <scheme val="minor"/>
    </font>
    <font>
      <sz val="11"/>
      <color theme="5"/>
      <name val="Yu Gothic"/>
      <family val="2"/>
      <scheme val="minor"/>
    </font>
    <font>
      <b/>
      <sz val="18"/>
      <color theme="1"/>
      <name val="Yu Gothic"/>
      <family val="3"/>
      <charset val="128"/>
      <scheme val="minor"/>
    </font>
    <font>
      <sz val="10"/>
      <color theme="1"/>
      <name val="Yu Gothic"/>
      <family val="2"/>
      <charset val="128"/>
      <scheme val="minor"/>
    </font>
    <font>
      <b/>
      <sz val="11"/>
      <color theme="1"/>
      <name val="Yu Gothic"/>
      <family val="3"/>
      <charset val="128"/>
      <scheme val="minor"/>
    </font>
    <font>
      <u/>
      <sz val="11"/>
      <color theme="10"/>
      <name val="Yu Gothic"/>
      <family val="2"/>
      <scheme val="minor"/>
    </font>
    <font>
      <b/>
      <sz val="14"/>
      <color theme="1"/>
      <name val="Yu Gothic"/>
      <family val="3"/>
      <charset val="128"/>
      <scheme val="minor"/>
    </font>
    <font>
      <b/>
      <sz val="12"/>
      <color theme="1"/>
      <name val="Yu Gothic"/>
      <family val="3"/>
      <charset val="128"/>
      <scheme val="minor"/>
    </font>
    <font>
      <sz val="11"/>
      <color rgb="FFFF0000"/>
      <name val="Yu Gothic"/>
      <family val="2"/>
      <scheme val="minor"/>
    </font>
    <font>
      <b/>
      <sz val="20"/>
      <color theme="1"/>
      <name val="Yu Gothic"/>
      <family val="3"/>
      <charset val="128"/>
      <scheme val="minor"/>
    </font>
    <font>
      <sz val="11"/>
      <color theme="1"/>
      <name val="Yu Gothic"/>
      <family val="3"/>
      <charset val="128"/>
      <scheme val="minor"/>
    </font>
    <font>
      <sz val="7"/>
      <color theme="1"/>
      <name val="Yu Gothic"/>
      <family val="2"/>
      <scheme val="minor"/>
    </font>
    <font>
      <sz val="11"/>
      <name val="Yu Gothic"/>
      <family val="2"/>
      <scheme val="minor"/>
    </font>
    <font>
      <sz val="11"/>
      <color theme="8"/>
      <name val="Yu Gothic"/>
      <family val="2"/>
      <scheme val="minor"/>
    </font>
    <font>
      <sz val="11"/>
      <color rgb="FFFF0000"/>
      <name val="Yu Gothic"/>
      <family val="3"/>
      <charset val="128"/>
      <scheme val="minor"/>
    </font>
    <font>
      <b/>
      <sz val="11"/>
      <color rgb="FFFF0000"/>
      <name val="Yu Gothic"/>
      <family val="3"/>
      <charset val="128"/>
      <scheme val="minor"/>
    </font>
    <font>
      <sz val="9"/>
      <color indexed="81"/>
      <name val="MS P ゴシック"/>
      <family val="3"/>
      <charset val="128"/>
    </font>
    <font>
      <sz val="18"/>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b/>
      <u/>
      <sz val="11"/>
      <color theme="1"/>
      <name val="Yu Gothic"/>
      <family val="3"/>
      <charset val="128"/>
      <scheme val="minor"/>
    </font>
    <font>
      <b/>
      <u/>
      <sz val="12"/>
      <color theme="1"/>
      <name val="Yu Gothic"/>
      <family val="3"/>
      <charset val="128"/>
      <scheme val="minor"/>
    </font>
    <font>
      <sz val="9"/>
      <color theme="1"/>
      <name val="Yu Gothic"/>
      <family val="2"/>
      <scheme val="minor"/>
    </font>
    <font>
      <sz val="9"/>
      <color theme="1"/>
      <name val="Yu Gothic"/>
      <family val="3"/>
      <charset val="128"/>
      <scheme val="minor"/>
    </font>
    <font>
      <sz val="8"/>
      <color theme="1"/>
      <name val="Yu Gothic"/>
      <family val="3"/>
      <charset val="128"/>
      <scheme val="minor"/>
    </font>
    <font>
      <sz val="8"/>
      <color theme="1"/>
      <name val="Yu Gothic"/>
      <family val="2"/>
      <scheme val="minor"/>
    </font>
    <font>
      <b/>
      <sz val="11"/>
      <color theme="5"/>
      <name val="Yu Gothic"/>
      <family val="3"/>
      <charset val="128"/>
      <scheme val="minor"/>
    </font>
    <font>
      <b/>
      <sz val="11"/>
      <color rgb="FF00B050"/>
      <name val="Yu Gothic"/>
      <family val="3"/>
      <charset val="128"/>
      <scheme val="minor"/>
    </font>
    <font>
      <b/>
      <sz val="11"/>
      <color theme="9" tint="-0.249977111117893"/>
      <name val="Yu Gothic"/>
      <family val="3"/>
      <charset val="128"/>
      <scheme val="minor"/>
    </font>
    <font>
      <b/>
      <sz val="11"/>
      <color theme="7" tint="-0.499984740745262"/>
      <name val="Yu Gothic"/>
      <family val="3"/>
      <charset val="128"/>
      <scheme val="minor"/>
    </font>
    <font>
      <sz val="11"/>
      <color theme="0" tint="-0.249977111117893"/>
      <name val="Yu Gothic"/>
      <family val="3"/>
      <charset val="128"/>
      <scheme val="minor"/>
    </font>
    <font>
      <b/>
      <sz val="9"/>
      <color theme="1"/>
      <name val="Yu Gothic"/>
      <family val="3"/>
      <charset val="128"/>
      <scheme val="minor"/>
    </font>
    <font>
      <u/>
      <sz val="11"/>
      <color theme="10"/>
      <name val="HG丸ｺﾞｼｯｸM-PRO"/>
      <family val="3"/>
      <charset val="128"/>
    </font>
    <font>
      <sz val="11"/>
      <color theme="1"/>
      <name val="Yu Gothic"/>
      <family val="3"/>
      <charset val="128"/>
    </font>
    <font>
      <b/>
      <sz val="11"/>
      <name val="Yu Gothic"/>
      <family val="3"/>
      <charset val="128"/>
      <scheme val="minor"/>
    </font>
    <font>
      <sz val="9"/>
      <color theme="8"/>
      <name val="Yu Gothic"/>
      <family val="2"/>
      <scheme val="minor"/>
    </font>
    <font>
      <sz val="8"/>
      <color indexed="81"/>
      <name val="MS P ゴシック"/>
      <family val="3"/>
      <charset val="128"/>
    </font>
    <font>
      <b/>
      <sz val="8"/>
      <color theme="1"/>
      <name val="Yu Gothic"/>
      <family val="3"/>
      <charset val="128"/>
      <scheme val="minor"/>
    </font>
    <font>
      <sz val="11"/>
      <name val="Yu Gothic"/>
      <family val="3"/>
      <charset val="128"/>
      <scheme val="minor"/>
    </font>
    <font>
      <sz val="11"/>
      <color theme="1"/>
      <name val="HG丸ｺﾞｼｯｸM-PRO"/>
      <family val="3"/>
      <charset val="128"/>
    </font>
    <font>
      <sz val="8"/>
      <color rgb="FFFF0000"/>
      <name val="Yu Gothic"/>
      <family val="2"/>
      <scheme val="minor"/>
    </font>
    <font>
      <sz val="10"/>
      <color theme="8"/>
      <name val="Yu Gothic"/>
      <family val="3"/>
      <charset val="128"/>
      <scheme val="minor"/>
    </font>
    <font>
      <b/>
      <u/>
      <sz val="20"/>
      <color theme="10"/>
      <name val="Yu Gothic"/>
      <family val="3"/>
      <charset val="128"/>
      <scheme val="minor"/>
    </font>
    <font>
      <sz val="10"/>
      <color rgb="FFFF0000"/>
      <name val="Yu Gothic"/>
      <family val="2"/>
      <scheme val="minor"/>
    </font>
    <font>
      <sz val="8"/>
      <color rgb="FFFF0000"/>
      <name val="Yu Gothic"/>
      <family val="3"/>
      <charset val="128"/>
      <scheme val="minor"/>
    </font>
    <font>
      <sz val="18"/>
      <color rgb="FFFF0000"/>
      <name val="HG丸ｺﾞｼｯｸM-PRO"/>
      <family val="3"/>
      <charset val="128"/>
    </font>
    <font>
      <sz val="12"/>
      <color theme="1"/>
      <name val="ＤＦ特太ゴシック体"/>
      <family val="3"/>
      <charset val="128"/>
    </font>
    <font>
      <sz val="16"/>
      <color theme="1"/>
      <name val="ＤＦ特太ゴシック体"/>
      <family val="3"/>
      <charset val="128"/>
    </font>
    <font>
      <b/>
      <sz val="11"/>
      <color rgb="FFFF0000"/>
      <name val="HG丸ｺﾞｼｯｸM-PRO"/>
      <family val="3"/>
      <charset val="128"/>
    </font>
    <font>
      <b/>
      <sz val="11"/>
      <color rgb="FF002060"/>
      <name val="HG丸ｺﾞｼｯｸM-PRO"/>
      <family val="3"/>
      <charset val="128"/>
    </font>
    <font>
      <u/>
      <sz val="11"/>
      <color rgb="FF002060"/>
      <name val="Yu Gothic"/>
      <family val="2"/>
      <scheme val="minor"/>
    </font>
  </fonts>
  <fills count="17">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bgColor indexed="64"/>
      </patternFill>
    </fill>
    <fill>
      <patternFill patternType="solid">
        <fgColor rgb="FF92D050"/>
        <bgColor indexed="64"/>
      </patternFill>
    </fill>
    <fill>
      <patternFill patternType="solid">
        <fgColor rgb="FFFFC0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0"/>
        <bgColor indexed="64"/>
      </patternFill>
    </fill>
    <fill>
      <patternFill patternType="solid">
        <fgColor theme="7" tint="0.39997558519241921"/>
        <bgColor indexed="64"/>
      </patternFill>
    </fill>
  </fills>
  <borders count="128">
    <border>
      <left/>
      <right/>
      <top/>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dotted">
        <color auto="1"/>
      </top>
      <bottom/>
      <diagonal/>
    </border>
    <border>
      <left style="thin">
        <color auto="1"/>
      </left>
      <right style="thin">
        <color auto="1"/>
      </right>
      <top/>
      <bottom style="dotted">
        <color auto="1"/>
      </bottom>
      <diagonal/>
    </border>
    <border>
      <left style="thin">
        <color auto="1"/>
      </left>
      <right style="thin">
        <color auto="1"/>
      </right>
      <top style="dotted">
        <color auto="1"/>
      </top>
      <bottom style="thin">
        <color indexed="64"/>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double">
        <color auto="1"/>
      </right>
      <top style="thin">
        <color auto="1"/>
      </top>
      <bottom style="thin">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thin">
        <color auto="1"/>
      </left>
      <right style="double">
        <color auto="1"/>
      </right>
      <top style="thin">
        <color auto="1"/>
      </top>
      <bottom/>
      <diagonal/>
    </border>
    <border>
      <left style="thin">
        <color auto="1"/>
      </left>
      <right style="double">
        <color auto="1"/>
      </right>
      <top/>
      <bottom style="thin">
        <color auto="1"/>
      </bottom>
      <diagonal/>
    </border>
    <border>
      <left style="thin">
        <color auto="1"/>
      </left>
      <right style="double">
        <color auto="1"/>
      </right>
      <top/>
      <bottom/>
      <diagonal/>
    </border>
    <border>
      <left style="thick">
        <color auto="1"/>
      </left>
      <right style="thick">
        <color auto="1"/>
      </right>
      <top style="thick">
        <color auto="1"/>
      </top>
      <bottom style="thick">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ck">
        <color auto="1"/>
      </left>
      <right style="thick">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bottom/>
      <diagonal/>
    </border>
    <border>
      <left style="medium">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bottom/>
      <diagonal/>
    </border>
    <border>
      <left style="thick">
        <color auto="1"/>
      </left>
      <right/>
      <top style="thick">
        <color auto="1"/>
      </top>
      <bottom/>
      <diagonal/>
    </border>
    <border>
      <left/>
      <right style="thick">
        <color auto="1"/>
      </right>
      <top/>
      <bottom style="thick">
        <color auto="1"/>
      </bottom>
      <diagonal/>
    </border>
    <border>
      <left/>
      <right style="thick">
        <color auto="1"/>
      </right>
      <top style="thick">
        <color auto="1"/>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dotted">
        <color auto="1"/>
      </right>
      <top/>
      <bottom style="thick">
        <color auto="1"/>
      </bottom>
      <diagonal/>
    </border>
    <border>
      <left style="dotted">
        <color auto="1"/>
      </left>
      <right style="thick">
        <color auto="1"/>
      </right>
      <top style="thick">
        <color auto="1"/>
      </top>
      <bottom style="thick">
        <color auto="1"/>
      </bottom>
      <diagonal/>
    </border>
    <border>
      <left style="thick">
        <color auto="1"/>
      </left>
      <right/>
      <top/>
      <bottom style="thin">
        <color auto="1"/>
      </bottom>
      <diagonal/>
    </border>
    <border>
      <left style="thick">
        <color auto="1"/>
      </left>
      <right/>
      <top/>
      <bottom/>
      <diagonal/>
    </border>
    <border>
      <left style="dotted">
        <color auto="1"/>
      </left>
      <right/>
      <top/>
      <bottom style="thick">
        <color auto="1"/>
      </bottom>
      <diagonal/>
    </border>
    <border>
      <left style="dotted">
        <color auto="1"/>
      </left>
      <right style="thick">
        <color auto="1"/>
      </right>
      <top style="thick">
        <color auto="1"/>
      </top>
      <bottom/>
      <diagonal/>
    </border>
    <border>
      <left style="thin">
        <color theme="0"/>
      </left>
      <right style="thin">
        <color theme="0"/>
      </right>
      <top/>
      <bottom/>
      <diagonal/>
    </border>
    <border>
      <left/>
      <right style="thin">
        <color auto="1"/>
      </right>
      <top style="dotted">
        <color auto="1"/>
      </top>
      <bottom style="thin">
        <color indexed="64"/>
      </bottom>
      <diagonal/>
    </border>
    <border>
      <left/>
      <right style="thin">
        <color auto="1"/>
      </right>
      <top style="dotted">
        <color auto="1"/>
      </top>
      <bottom/>
      <diagonal/>
    </border>
    <border>
      <left/>
      <right style="thin">
        <color auto="1"/>
      </right>
      <top/>
      <bottom style="dotted">
        <color auto="1"/>
      </bottom>
      <diagonal/>
    </border>
    <border>
      <left style="double">
        <color auto="1"/>
      </left>
      <right/>
      <top style="thin">
        <color auto="1"/>
      </top>
      <bottom/>
      <diagonal/>
    </border>
    <border>
      <left style="double">
        <color auto="1"/>
      </left>
      <right/>
      <top/>
      <bottom style="thin">
        <color auto="1"/>
      </bottom>
      <diagonal/>
    </border>
    <border>
      <left/>
      <right style="thick">
        <color auto="1"/>
      </right>
      <top/>
      <bottom style="thin">
        <color auto="1"/>
      </bottom>
      <diagonal/>
    </border>
    <border>
      <left style="double">
        <color auto="1"/>
      </left>
      <right style="thin">
        <color auto="1"/>
      </right>
      <top style="dotted">
        <color auto="1"/>
      </top>
      <bottom style="thin">
        <color indexed="64"/>
      </bottom>
      <diagonal/>
    </border>
    <border>
      <left style="thin">
        <color auto="1"/>
      </left>
      <right style="double">
        <color auto="1"/>
      </right>
      <top style="dotted">
        <color auto="1"/>
      </top>
      <bottom style="thin">
        <color indexed="64"/>
      </bottom>
      <diagonal/>
    </border>
    <border>
      <left style="double">
        <color auto="1"/>
      </left>
      <right style="thin">
        <color auto="1"/>
      </right>
      <top style="thin">
        <color auto="1"/>
      </top>
      <bottom style="dotted">
        <color auto="1"/>
      </bottom>
      <diagonal/>
    </border>
    <border>
      <left style="thin">
        <color auto="1"/>
      </left>
      <right style="double">
        <color auto="1"/>
      </right>
      <top style="thin">
        <color auto="1"/>
      </top>
      <bottom style="dotted">
        <color auto="1"/>
      </bottom>
      <diagonal/>
    </border>
    <border>
      <left style="double">
        <color auto="1"/>
      </left>
      <right style="thin">
        <color auto="1"/>
      </right>
      <top style="dotted">
        <color auto="1"/>
      </top>
      <bottom style="dotted">
        <color auto="1"/>
      </bottom>
      <diagonal/>
    </border>
    <border>
      <left style="thin">
        <color auto="1"/>
      </left>
      <right style="double">
        <color auto="1"/>
      </right>
      <top style="dotted">
        <color auto="1"/>
      </top>
      <bottom style="dotted">
        <color auto="1"/>
      </bottom>
      <diagonal/>
    </border>
    <border>
      <left style="double">
        <color auto="1"/>
      </left>
      <right style="thin">
        <color auto="1"/>
      </right>
      <top style="dotted">
        <color auto="1"/>
      </top>
      <bottom/>
      <diagonal/>
    </border>
    <border>
      <left style="thin">
        <color auto="1"/>
      </left>
      <right style="double">
        <color auto="1"/>
      </right>
      <top style="dotted">
        <color auto="1"/>
      </top>
      <bottom/>
      <diagonal/>
    </border>
    <border>
      <left style="double">
        <color auto="1"/>
      </left>
      <right style="thin">
        <color auto="1"/>
      </right>
      <top/>
      <bottom style="dotted">
        <color auto="1"/>
      </bottom>
      <diagonal/>
    </border>
    <border>
      <left style="thin">
        <color auto="1"/>
      </left>
      <right style="double">
        <color auto="1"/>
      </right>
      <top/>
      <bottom style="dotted">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style="thin">
        <color auto="1"/>
      </top>
      <bottom/>
      <diagonal/>
    </border>
    <border>
      <left style="thin">
        <color auto="1"/>
      </left>
      <right style="thick">
        <color auto="1"/>
      </right>
      <top style="thin">
        <color auto="1"/>
      </top>
      <bottom/>
      <diagonal/>
    </border>
    <border>
      <left style="thick">
        <color auto="1"/>
      </left>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double">
        <color auto="1"/>
      </right>
      <top style="thin">
        <color auto="1"/>
      </top>
      <bottom style="medium">
        <color auto="1"/>
      </bottom>
      <diagonal/>
    </border>
    <border>
      <left style="double">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indexed="64"/>
      </top>
      <bottom style="double">
        <color indexed="64"/>
      </bottom>
      <diagonal/>
    </border>
    <border>
      <left/>
      <right style="double">
        <color auto="1"/>
      </right>
      <top style="thin">
        <color auto="1"/>
      </top>
      <bottom style="thin">
        <color auto="1"/>
      </bottom>
      <diagonal/>
    </border>
    <border>
      <left/>
      <right/>
      <top style="thin">
        <color auto="1"/>
      </top>
      <bottom style="thin">
        <color theme="0"/>
      </bottom>
      <diagonal/>
    </border>
    <border>
      <left/>
      <right/>
      <top style="thin">
        <color theme="0"/>
      </top>
      <bottom style="thin">
        <color theme="0"/>
      </bottom>
      <diagonal/>
    </border>
    <border>
      <left/>
      <right/>
      <top style="thin">
        <color theme="0"/>
      </top>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right/>
      <top/>
      <bottom style="medium">
        <color rgb="FFFF0000"/>
      </bottom>
      <diagonal/>
    </border>
    <border>
      <left/>
      <right/>
      <top/>
      <bottom style="thick">
        <color rgb="FFFF0000"/>
      </bottom>
      <diagonal/>
    </border>
    <border>
      <left/>
      <right style="medium">
        <color rgb="FFFF0000"/>
      </right>
      <top/>
      <bottom/>
      <diagonal/>
    </border>
    <border>
      <left style="thin">
        <color indexed="64"/>
      </left>
      <right style="medium">
        <color rgb="FFFF0000"/>
      </right>
      <top style="medium">
        <color rgb="FFFF0000"/>
      </top>
      <bottom style="thin">
        <color indexed="64"/>
      </bottom>
      <diagonal/>
    </border>
    <border>
      <left style="thick">
        <color rgb="FFFF0000"/>
      </left>
      <right style="thick">
        <color rgb="FFFF0000"/>
      </right>
      <top style="thick">
        <color rgb="FFFF0000"/>
      </top>
      <bottom style="thin">
        <color indexed="64"/>
      </bottom>
      <diagonal/>
    </border>
    <border>
      <left style="thin">
        <color indexed="64"/>
      </left>
      <right style="medium">
        <color rgb="FFFF0000"/>
      </right>
      <top style="thin">
        <color indexed="64"/>
      </top>
      <bottom style="thin">
        <color indexed="64"/>
      </bottom>
      <diagonal/>
    </border>
    <border>
      <left style="thick">
        <color rgb="FFFF0000"/>
      </left>
      <right style="thick">
        <color rgb="FFFF0000"/>
      </right>
      <top style="thin">
        <color indexed="64"/>
      </top>
      <bottom style="thin">
        <color indexed="64"/>
      </bottom>
      <diagonal/>
    </border>
    <border>
      <left style="medium">
        <color rgb="FFFF0000"/>
      </left>
      <right style="thin">
        <color indexed="64"/>
      </right>
      <top style="thin">
        <color indexed="64"/>
      </top>
      <bottom style="double">
        <color rgb="FFFF0000"/>
      </bottom>
      <diagonal/>
    </border>
    <border>
      <left style="thin">
        <color indexed="64"/>
      </left>
      <right style="thin">
        <color indexed="64"/>
      </right>
      <top style="thin">
        <color indexed="64"/>
      </top>
      <bottom style="double">
        <color rgb="FFFF0000"/>
      </bottom>
      <diagonal/>
    </border>
    <border>
      <left style="thin">
        <color indexed="64"/>
      </left>
      <right style="medium">
        <color rgb="FFFF0000"/>
      </right>
      <top style="thin">
        <color indexed="64"/>
      </top>
      <bottom style="double">
        <color rgb="FFFF0000"/>
      </bottom>
      <diagonal/>
    </border>
    <border>
      <left/>
      <right/>
      <top/>
      <bottom style="double">
        <color rgb="FFFF0000"/>
      </bottom>
      <diagonal/>
    </border>
    <border>
      <left style="thick">
        <color rgb="FFFF0000"/>
      </left>
      <right style="thick">
        <color rgb="FFFF0000"/>
      </right>
      <top style="thin">
        <color indexed="64"/>
      </top>
      <bottom style="double">
        <color rgb="FFFF0000"/>
      </bottom>
      <diagonal/>
    </border>
    <border>
      <left style="medium">
        <color rgb="FFFF0000"/>
      </left>
      <right style="thin">
        <color indexed="64"/>
      </right>
      <top/>
      <bottom style="medium">
        <color rgb="FFFF0000"/>
      </bottom>
      <diagonal/>
    </border>
    <border>
      <left style="thin">
        <color indexed="64"/>
      </left>
      <right style="thin">
        <color indexed="64"/>
      </right>
      <top/>
      <bottom style="medium">
        <color rgb="FFFF0000"/>
      </bottom>
      <diagonal/>
    </border>
    <border>
      <left style="thin">
        <color indexed="64"/>
      </left>
      <right style="medium">
        <color rgb="FFFF0000"/>
      </right>
      <top/>
      <bottom style="medium">
        <color rgb="FFFF0000"/>
      </bottom>
      <diagonal/>
    </border>
    <border>
      <left style="thick">
        <color rgb="FFFF0000"/>
      </left>
      <right style="thick">
        <color rgb="FFFF0000"/>
      </right>
      <top/>
      <bottom style="thick">
        <color rgb="FFFF0000"/>
      </bottom>
      <diagonal/>
    </border>
  </borders>
  <cellStyleXfs count="4">
    <xf numFmtId="0" fontId="0" fillId="0" borderId="0"/>
    <xf numFmtId="38" fontId="3" fillId="0" borderId="0" applyFont="0" applyFill="0" applyBorder="0" applyAlignment="0" applyProtection="0">
      <alignment vertical="center"/>
    </xf>
    <xf numFmtId="0" fontId="13" fillId="0" borderId="0" applyNumberFormat="0" applyFill="0" applyBorder="0" applyAlignment="0" applyProtection="0"/>
    <xf numFmtId="0" fontId="2" fillId="0" borderId="0">
      <alignment vertical="center"/>
    </xf>
  </cellStyleXfs>
  <cellXfs count="517">
    <xf numFmtId="0" fontId="0" fillId="0" borderId="0" xfId="0"/>
    <xf numFmtId="0" fontId="5" fillId="0" borderId="0" xfId="0" applyFont="1"/>
    <xf numFmtId="0" fontId="6" fillId="0" borderId="0" xfId="0" applyFont="1"/>
    <xf numFmtId="0" fontId="0" fillId="0" borderId="0" xfId="0" applyAlignment="1">
      <alignment vertical="center"/>
    </xf>
    <xf numFmtId="0" fontId="0" fillId="3" borderId="12" xfId="0" applyFill="1" applyBorder="1" applyAlignment="1">
      <alignment horizontal="center" vertical="center"/>
    </xf>
    <xf numFmtId="176" fontId="0" fillId="0" borderId="12" xfId="0" applyNumberFormat="1" applyBorder="1" applyAlignment="1">
      <alignment vertical="center"/>
    </xf>
    <xf numFmtId="0" fontId="7" fillId="0" borderId="0" xfId="0" applyFont="1" applyAlignment="1">
      <alignment vertical="center"/>
    </xf>
    <xf numFmtId="0" fontId="9" fillId="0" borderId="0" xfId="0" applyFont="1" applyAlignment="1">
      <alignment horizontal="center"/>
    </xf>
    <xf numFmtId="0" fontId="0" fillId="3" borderId="1" xfId="0" applyFill="1" applyBorder="1" applyAlignment="1">
      <alignment vertical="center"/>
    </xf>
    <xf numFmtId="38" fontId="0" fillId="0" borderId="0" xfId="1" applyFont="1" applyAlignment="1"/>
    <xf numFmtId="0" fontId="0" fillId="3" borderId="6" xfId="0" applyFill="1" applyBorder="1" applyAlignment="1">
      <alignment horizontal="center" vertical="center"/>
    </xf>
    <xf numFmtId="0" fontId="0" fillId="0" borderId="1" xfId="0" applyBorder="1" applyAlignment="1">
      <alignment vertical="center"/>
    </xf>
    <xf numFmtId="0" fontId="0" fillId="0" borderId="11" xfId="0" applyBorder="1" applyAlignment="1">
      <alignment vertical="center"/>
    </xf>
    <xf numFmtId="0" fontId="0" fillId="0" borderId="5" xfId="0" applyBorder="1" applyAlignment="1">
      <alignment vertical="center"/>
    </xf>
    <xf numFmtId="0" fontId="0" fillId="0" borderId="15" xfId="0" applyBorder="1" applyAlignment="1">
      <alignment vertical="center"/>
    </xf>
    <xf numFmtId="0" fontId="10" fillId="0" borderId="13" xfId="0" applyFont="1" applyBorder="1" applyAlignment="1">
      <alignment vertical="center"/>
    </xf>
    <xf numFmtId="0" fontId="0" fillId="0" borderId="12" xfId="0" applyBorder="1" applyAlignment="1">
      <alignment vertical="center"/>
    </xf>
    <xf numFmtId="0" fontId="0" fillId="0" borderId="4" xfId="0" applyBorder="1" applyAlignment="1">
      <alignment vertical="center"/>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17" xfId="0" applyBorder="1" applyAlignment="1">
      <alignment vertical="center"/>
    </xf>
    <xf numFmtId="0" fontId="0" fillId="0" borderId="18" xfId="0" applyBorder="1" applyAlignment="1">
      <alignment vertical="center"/>
    </xf>
    <xf numFmtId="0" fontId="0" fillId="0" borderId="21" xfId="0" applyBorder="1" applyAlignment="1">
      <alignment vertical="center"/>
    </xf>
    <xf numFmtId="0" fontId="0" fillId="0" borderId="15" xfId="0" applyBorder="1" applyAlignment="1">
      <alignment vertical="center" wrapText="1"/>
    </xf>
    <xf numFmtId="0" fontId="0" fillId="0" borderId="20" xfId="0" applyBorder="1" applyAlignment="1">
      <alignment vertical="center" wrapText="1" shrinkToFit="1"/>
    </xf>
    <xf numFmtId="0" fontId="0" fillId="0" borderId="18" xfId="0" applyBorder="1" applyAlignment="1">
      <alignment vertical="center" wrapText="1" shrinkToFit="1"/>
    </xf>
    <xf numFmtId="0" fontId="0" fillId="0" borderId="15" xfId="0" applyBorder="1" applyAlignment="1">
      <alignment vertical="center" wrapText="1" shrinkToFit="1"/>
    </xf>
    <xf numFmtId="0" fontId="0" fillId="0" borderId="19" xfId="0" applyBorder="1" applyAlignment="1">
      <alignment vertical="center"/>
    </xf>
    <xf numFmtId="0" fontId="11" fillId="0" borderId="19" xfId="0" applyFont="1" applyBorder="1" applyAlignment="1">
      <alignment vertical="center" wrapText="1" shrinkToFit="1"/>
    </xf>
    <xf numFmtId="0" fontId="11" fillId="0" borderId="16" xfId="0" applyFont="1" applyBorder="1" applyAlignment="1">
      <alignment vertical="center" wrapText="1" shrinkToFit="1"/>
    </xf>
    <xf numFmtId="0" fontId="0" fillId="0" borderId="22" xfId="0" applyBorder="1" applyAlignment="1">
      <alignment vertical="center" wrapText="1" shrinkToFit="1"/>
    </xf>
    <xf numFmtId="0" fontId="0" fillId="0" borderId="23" xfId="0" applyBorder="1" applyAlignment="1">
      <alignment vertical="center"/>
    </xf>
    <xf numFmtId="0" fontId="0" fillId="0" borderId="17" xfId="0" applyBorder="1" applyAlignment="1">
      <alignment vertical="center" wrapText="1" shrinkToFit="1"/>
    </xf>
    <xf numFmtId="0" fontId="0" fillId="0" borderId="18" xfId="0" applyBorder="1" applyAlignment="1">
      <alignment horizontal="center" vertical="center" wrapText="1"/>
    </xf>
    <xf numFmtId="0" fontId="0" fillId="0" borderId="19" xfId="0" applyBorder="1" applyAlignment="1">
      <alignment vertical="center" wrapText="1" shrinkToFit="1"/>
    </xf>
    <xf numFmtId="0" fontId="12" fillId="0" borderId="12" xfId="0" applyFont="1" applyBorder="1" applyAlignment="1">
      <alignment horizontal="center" vertical="center"/>
    </xf>
    <xf numFmtId="0" fontId="0" fillId="0" borderId="3" xfId="0" applyBorder="1" applyAlignment="1">
      <alignment vertical="center"/>
    </xf>
    <xf numFmtId="0" fontId="12" fillId="0" borderId="24" xfId="0" applyFont="1" applyBorder="1" applyAlignment="1">
      <alignment horizontal="center" vertical="center"/>
    </xf>
    <xf numFmtId="0" fontId="0" fillId="0" borderId="0" xfId="0" applyAlignment="1">
      <alignment horizontal="right"/>
    </xf>
    <xf numFmtId="0" fontId="13" fillId="0" borderId="0" xfId="2"/>
    <xf numFmtId="0" fontId="0" fillId="0" borderId="0" xfId="0" applyAlignment="1">
      <alignment horizontal="center"/>
    </xf>
    <xf numFmtId="0" fontId="15" fillId="0" borderId="0" xfId="0" applyFont="1" applyAlignment="1">
      <alignment horizontal="center"/>
    </xf>
    <xf numFmtId="0" fontId="15" fillId="0" borderId="0" xfId="0" applyFont="1" applyAlignment="1">
      <alignment horizontal="center" vertical="center" textRotation="255"/>
    </xf>
    <xf numFmtId="0" fontId="0" fillId="0" borderId="0" xfId="0" quotePrefix="1" applyAlignment="1">
      <alignment horizontal="right"/>
    </xf>
    <xf numFmtId="0" fontId="16" fillId="0" borderId="0" xfId="0" applyFont="1"/>
    <xf numFmtId="180" fontId="5" fillId="0" borderId="0" xfId="0" applyNumberFormat="1" applyFont="1"/>
    <xf numFmtId="181" fontId="5" fillId="0" borderId="0" xfId="0" applyNumberFormat="1" applyFont="1"/>
    <xf numFmtId="182" fontId="5" fillId="0" borderId="0" xfId="0" applyNumberFormat="1" applyFont="1"/>
    <xf numFmtId="183" fontId="5" fillId="0" borderId="0" xfId="0" applyNumberFormat="1" applyFont="1"/>
    <xf numFmtId="184" fontId="5" fillId="0" borderId="0" xfId="0" applyNumberFormat="1" applyFont="1"/>
    <xf numFmtId="185" fontId="5" fillId="0" borderId="0" xfId="0" applyNumberFormat="1" applyFont="1"/>
    <xf numFmtId="186" fontId="5" fillId="0" borderId="0" xfId="0" applyNumberFormat="1" applyFont="1"/>
    <xf numFmtId="187" fontId="5" fillId="0" borderId="0" xfId="0" applyNumberFormat="1" applyFont="1"/>
    <xf numFmtId="0" fontId="5" fillId="0" borderId="0" xfId="0" applyFont="1"/>
    <xf numFmtId="188" fontId="5" fillId="0" borderId="0" xfId="0" applyNumberFormat="1" applyFont="1"/>
    <xf numFmtId="0" fontId="17" fillId="0" borderId="0" xfId="0" applyFont="1"/>
    <xf numFmtId="0" fontId="0" fillId="4" borderId="0" xfId="0" applyFill="1"/>
    <xf numFmtId="0" fontId="10" fillId="4" borderId="0" xfId="0" applyFont="1" applyFill="1"/>
    <xf numFmtId="0" fontId="10" fillId="5" borderId="0" xfId="0" applyFont="1" applyFill="1"/>
    <xf numFmtId="0" fontId="0" fillId="5" borderId="0" xfId="0" applyFill="1"/>
    <xf numFmtId="0" fontId="17" fillId="5" borderId="0" xfId="0" applyFont="1" applyFill="1"/>
    <xf numFmtId="0" fontId="17" fillId="0" borderId="0" xfId="0" quotePrefix="1" applyFont="1" applyAlignment="1">
      <alignment horizontal="center"/>
    </xf>
    <xf numFmtId="0" fontId="12" fillId="5" borderId="0" xfId="0" applyFont="1" applyFill="1"/>
    <xf numFmtId="38" fontId="12" fillId="5" borderId="0" xfId="1" applyFont="1" applyFill="1" applyAlignment="1"/>
    <xf numFmtId="0" fontId="12" fillId="6" borderId="0" xfId="0" applyFont="1" applyFill="1"/>
    <xf numFmtId="38" fontId="12" fillId="6" borderId="0" xfId="1" applyFont="1" applyFill="1" applyAlignment="1"/>
    <xf numFmtId="0" fontId="12" fillId="0" borderId="0" xfId="0" applyFont="1"/>
    <xf numFmtId="0" fontId="0" fillId="3" borderId="34" xfId="0" applyFill="1" applyBorder="1" applyAlignment="1">
      <alignment vertical="center"/>
    </xf>
    <xf numFmtId="0" fontId="0" fillId="3" borderId="35" xfId="0" applyFill="1" applyBorder="1" applyAlignment="1">
      <alignment vertical="center"/>
    </xf>
    <xf numFmtId="0" fontId="0" fillId="0" borderId="24" xfId="0" applyBorder="1" applyAlignment="1">
      <alignment horizontal="center" vertical="center"/>
    </xf>
    <xf numFmtId="176" fontId="0" fillId="0" borderId="32" xfId="0" applyNumberFormat="1" applyBorder="1" applyAlignment="1">
      <alignment vertical="center"/>
    </xf>
    <xf numFmtId="0" fontId="0" fillId="3" borderId="5" xfId="0" applyFill="1" applyBorder="1" applyAlignment="1">
      <alignment vertical="center"/>
    </xf>
    <xf numFmtId="0" fontId="0" fillId="3" borderId="11" xfId="0" applyFill="1" applyBorder="1" applyAlignment="1">
      <alignment vertical="center"/>
    </xf>
    <xf numFmtId="0" fontId="0" fillId="3" borderId="33" xfId="0" applyFill="1" applyBorder="1" applyAlignment="1">
      <alignment horizontal="center" vertical="center"/>
    </xf>
    <xf numFmtId="0" fontId="0" fillId="7" borderId="0" xfId="0" applyFill="1"/>
    <xf numFmtId="0" fontId="12" fillId="7" borderId="0" xfId="0" applyFont="1" applyFill="1"/>
    <xf numFmtId="0" fontId="5" fillId="7" borderId="0" xfId="0" applyFont="1" applyFill="1"/>
    <xf numFmtId="57" fontId="5" fillId="7" borderId="0" xfId="0" applyNumberFormat="1" applyFont="1" applyFill="1"/>
    <xf numFmtId="38" fontId="12" fillId="7" borderId="0" xfId="1" applyFont="1" applyFill="1" applyAlignment="1"/>
    <xf numFmtId="0" fontId="0" fillId="7" borderId="0" xfId="0" applyFill="1" applyAlignment="1"/>
    <xf numFmtId="38" fontId="12" fillId="7" borderId="0" xfId="0" applyNumberFormat="1" applyFont="1" applyFill="1"/>
    <xf numFmtId="0" fontId="0" fillId="7" borderId="0" xfId="0" applyFill="1" applyAlignment="1">
      <alignment horizontal="center"/>
    </xf>
    <xf numFmtId="0" fontId="12" fillId="7" borderId="0" xfId="0" applyFont="1" applyFill="1" applyAlignment="1">
      <alignment horizontal="center"/>
    </xf>
    <xf numFmtId="0" fontId="12" fillId="7" borderId="0" xfId="0" applyFont="1" applyFill="1" applyAlignment="1">
      <alignment horizontal="right"/>
    </xf>
    <xf numFmtId="0" fontId="0" fillId="0" borderId="0" xfId="0" applyFill="1"/>
    <xf numFmtId="0" fontId="0" fillId="0" borderId="0" xfId="0" applyBorder="1"/>
    <xf numFmtId="0" fontId="14" fillId="7" borderId="0" xfId="0" applyFont="1" applyFill="1"/>
    <xf numFmtId="0" fontId="14" fillId="7" borderId="0" xfId="0" applyFont="1" applyFill="1" applyAlignment="1"/>
    <xf numFmtId="0" fontId="19" fillId="7" borderId="0" xfId="0" applyFont="1" applyFill="1" applyAlignment="1">
      <alignment wrapText="1"/>
    </xf>
    <xf numFmtId="0" fontId="20" fillId="7" borderId="0" xfId="0" applyFont="1" applyFill="1" applyAlignment="1">
      <alignment horizontal="center"/>
    </xf>
    <xf numFmtId="0" fontId="0" fillId="8" borderId="0" xfId="0" applyFill="1" applyAlignment="1">
      <alignment horizontal="right"/>
    </xf>
    <xf numFmtId="0" fontId="0" fillId="8" borderId="0" xfId="0" applyFill="1"/>
    <xf numFmtId="0" fontId="5" fillId="8" borderId="0" xfId="0" applyFont="1" applyFill="1"/>
    <xf numFmtId="0" fontId="12" fillId="8" borderId="0" xfId="0" applyFont="1" applyFill="1" applyAlignment="1">
      <alignment horizontal="center"/>
    </xf>
    <xf numFmtId="0" fontId="0" fillId="8" borderId="0" xfId="0" applyFill="1" applyBorder="1" applyAlignment="1">
      <alignment horizontal="right"/>
    </xf>
    <xf numFmtId="0" fontId="21" fillId="8" borderId="0" xfId="0" applyFont="1" applyFill="1"/>
    <xf numFmtId="0" fontId="22" fillId="8" borderId="0" xfId="0" applyFont="1" applyFill="1"/>
    <xf numFmtId="0" fontId="23" fillId="8" borderId="0" xfId="0" applyFont="1" applyFill="1"/>
    <xf numFmtId="0" fontId="16" fillId="8" borderId="0" xfId="0" applyFont="1" applyFill="1" applyAlignment="1">
      <alignment horizontal="right"/>
    </xf>
    <xf numFmtId="0" fontId="22" fillId="8" borderId="0" xfId="0" applyFont="1" applyFill="1" applyAlignment="1">
      <alignment horizontal="right"/>
    </xf>
    <xf numFmtId="0" fontId="22" fillId="8" borderId="0" xfId="0" applyFont="1" applyFill="1" applyBorder="1" applyAlignment="1">
      <alignment horizontal="right"/>
    </xf>
    <xf numFmtId="176" fontId="0" fillId="9" borderId="12" xfId="0" applyNumberFormat="1" applyFill="1" applyBorder="1" applyAlignment="1">
      <alignment vertical="center"/>
    </xf>
    <xf numFmtId="0" fontId="0" fillId="9" borderId="24" xfId="0" applyFill="1" applyBorder="1" applyAlignment="1">
      <alignment horizontal="center" vertical="center"/>
    </xf>
    <xf numFmtId="176" fontId="0" fillId="10" borderId="32" xfId="0" applyNumberFormat="1" applyFill="1" applyBorder="1" applyAlignment="1">
      <alignment vertical="center"/>
    </xf>
    <xf numFmtId="176" fontId="0" fillId="7" borderId="12" xfId="0" applyNumberFormat="1" applyFill="1" applyBorder="1" applyAlignment="1">
      <alignment vertical="center"/>
    </xf>
    <xf numFmtId="0" fontId="17" fillId="0" borderId="39" xfId="0" applyFont="1" applyBorder="1"/>
    <xf numFmtId="0" fontId="0" fillId="0" borderId="42" xfId="0" applyBorder="1" applyAlignment="1">
      <alignment vertical="center"/>
    </xf>
    <xf numFmtId="0" fontId="0" fillId="0" borderId="43" xfId="0" applyBorder="1" applyAlignment="1">
      <alignment vertical="center"/>
    </xf>
    <xf numFmtId="0" fontId="0" fillId="0" borderId="47" xfId="0" applyBorder="1" applyAlignment="1">
      <alignment vertical="center" shrinkToFit="1"/>
    </xf>
    <xf numFmtId="0" fontId="0" fillId="0" borderId="48" xfId="0" quotePrefix="1" applyBorder="1" applyAlignment="1">
      <alignment vertical="center"/>
    </xf>
    <xf numFmtId="0" fontId="0" fillId="0" borderId="48" xfId="0" applyBorder="1" applyAlignment="1">
      <alignment vertical="center"/>
    </xf>
    <xf numFmtId="189" fontId="0" fillId="0" borderId="0" xfId="0" applyNumberFormat="1" applyAlignment="1">
      <alignment horizontal="right" vertical="center"/>
    </xf>
    <xf numFmtId="0" fontId="0" fillId="0" borderId="0" xfId="0" applyAlignment="1">
      <alignment horizontal="right" vertical="center"/>
    </xf>
    <xf numFmtId="189" fontId="0" fillId="0" borderId="0" xfId="0" applyNumberFormat="1" applyAlignment="1">
      <alignment vertical="center"/>
    </xf>
    <xf numFmtId="0" fontId="0" fillId="0" borderId="0" xfId="0" applyAlignment="1">
      <alignment vertical="center" wrapText="1"/>
    </xf>
    <xf numFmtId="0" fontId="0" fillId="0" borderId="51" xfId="0" applyBorder="1" applyAlignment="1">
      <alignment vertical="center"/>
    </xf>
    <xf numFmtId="0" fontId="0" fillId="0" borderId="52" xfId="0" applyBorder="1" applyAlignment="1">
      <alignment vertical="center"/>
    </xf>
    <xf numFmtId="0" fontId="29" fillId="0" borderId="0" xfId="0" applyFont="1" applyAlignment="1">
      <alignment vertical="center"/>
    </xf>
    <xf numFmtId="190" fontId="0" fillId="0" borderId="0" xfId="0" applyNumberFormat="1" applyAlignment="1">
      <alignment vertical="center"/>
    </xf>
    <xf numFmtId="0" fontId="0" fillId="0" borderId="2" xfId="0" applyBorder="1" applyAlignment="1">
      <alignment horizontal="right" vertical="center" shrinkToFit="1"/>
    </xf>
    <xf numFmtId="189" fontId="0" fillId="0" borderId="3" xfId="0" applyNumberFormat="1" applyBorder="1" applyAlignment="1">
      <alignment vertical="center"/>
    </xf>
    <xf numFmtId="178" fontId="0" fillId="0" borderId="0" xfId="0" applyNumberFormat="1" applyAlignment="1">
      <alignment vertical="center"/>
    </xf>
    <xf numFmtId="178" fontId="0" fillId="0" borderId="0" xfId="0" applyNumberFormat="1" applyAlignment="1">
      <alignment horizontal="center" vertical="center"/>
    </xf>
    <xf numFmtId="0" fontId="0" fillId="0" borderId="2" xfId="0" applyBorder="1" applyAlignment="1">
      <alignment vertical="center"/>
    </xf>
    <xf numFmtId="0" fontId="0" fillId="0" borderId="55" xfId="0" applyBorder="1" applyAlignment="1">
      <alignment vertical="center"/>
    </xf>
    <xf numFmtId="0" fontId="0" fillId="0" borderId="56" xfId="0" applyBorder="1" applyAlignment="1">
      <alignment vertical="center"/>
    </xf>
    <xf numFmtId="189" fontId="0" fillId="0" borderId="0" xfId="0" quotePrefix="1" applyNumberFormat="1" applyAlignment="1">
      <alignment vertical="center"/>
    </xf>
    <xf numFmtId="191" fontId="0" fillId="0" borderId="0" xfId="0" applyNumberFormat="1" applyAlignment="1">
      <alignment vertical="center"/>
    </xf>
    <xf numFmtId="38" fontId="0" fillId="0" borderId="0" xfId="1" applyFont="1" applyAlignment="1">
      <alignment vertical="center"/>
    </xf>
    <xf numFmtId="0" fontId="12" fillId="3" borderId="0" xfId="0" applyFont="1" applyFill="1"/>
    <xf numFmtId="0" fontId="0" fillId="3" borderId="0" xfId="0" applyFill="1"/>
    <xf numFmtId="0" fontId="0" fillId="3" borderId="0" xfId="0" applyFill="1" applyAlignment="1">
      <alignment horizontal="right"/>
    </xf>
    <xf numFmtId="0" fontId="30" fillId="3" borderId="0" xfId="0" applyFont="1" applyFill="1" applyAlignment="1">
      <alignment horizontal="right"/>
    </xf>
    <xf numFmtId="0" fontId="30" fillId="3" borderId="0" xfId="0" applyFont="1" applyFill="1"/>
    <xf numFmtId="38" fontId="31" fillId="3" borderId="0" xfId="1" applyFont="1" applyFill="1" applyAlignment="1"/>
    <xf numFmtId="0" fontId="25" fillId="0" borderId="0" xfId="0" applyFont="1" applyAlignment="1">
      <alignment vertical="center"/>
    </xf>
    <xf numFmtId="0" fontId="32" fillId="0" borderId="0" xfId="0" applyFont="1" applyAlignment="1">
      <alignment horizontal="right" wrapText="1"/>
    </xf>
    <xf numFmtId="0" fontId="33" fillId="0" borderId="0" xfId="0" applyFont="1" applyBorder="1" applyAlignment="1">
      <alignment horizontal="right" wrapText="1"/>
    </xf>
    <xf numFmtId="0" fontId="35" fillId="0" borderId="0" xfId="0" applyFont="1" applyBorder="1" applyAlignment="1">
      <alignment horizontal="right"/>
    </xf>
    <xf numFmtId="0" fontId="35" fillId="0" borderId="0" xfId="0" applyFont="1" applyAlignment="1">
      <alignment horizontal="right" wrapText="1"/>
    </xf>
    <xf numFmtId="0" fontId="0" fillId="0" borderId="58" xfId="0" applyBorder="1"/>
    <xf numFmtId="0" fontId="0" fillId="0" borderId="59" xfId="0" applyBorder="1"/>
    <xf numFmtId="0" fontId="0" fillId="0" borderId="62" xfId="0" applyBorder="1"/>
    <xf numFmtId="0" fontId="0" fillId="0" borderId="63" xfId="0" applyBorder="1" applyAlignment="1">
      <alignment horizontal="right"/>
    </xf>
    <xf numFmtId="0" fontId="0" fillId="0" borderId="66" xfId="0" applyBorder="1"/>
    <xf numFmtId="0" fontId="0" fillId="0" borderId="13" xfId="0" applyBorder="1"/>
    <xf numFmtId="192" fontId="0" fillId="0" borderId="0" xfId="1" applyNumberFormat="1" applyFont="1" applyAlignment="1"/>
    <xf numFmtId="0" fontId="0" fillId="0" borderId="26" xfId="0" applyBorder="1" applyAlignment="1">
      <alignment horizontal="right"/>
    </xf>
    <xf numFmtId="0" fontId="0" fillId="0" borderId="57" xfId="0" applyBorder="1" applyAlignment="1">
      <alignment horizontal="right"/>
    </xf>
    <xf numFmtId="56" fontId="32" fillId="0" borderId="26" xfId="0" quotePrefix="1" applyNumberFormat="1" applyFont="1" applyBorder="1" applyAlignment="1">
      <alignment horizontal="right"/>
    </xf>
    <xf numFmtId="0" fontId="33" fillId="0" borderId="57" xfId="0" applyFont="1" applyBorder="1"/>
    <xf numFmtId="0" fontId="36" fillId="0" borderId="0" xfId="0" applyFont="1" applyBorder="1"/>
    <xf numFmtId="0" fontId="36" fillId="0" borderId="57" xfId="0" applyFont="1" applyBorder="1"/>
    <xf numFmtId="0" fontId="37" fillId="0" borderId="0" xfId="0" applyFont="1" applyBorder="1"/>
    <xf numFmtId="0" fontId="37" fillId="0" borderId="26" xfId="0" applyFont="1" applyBorder="1"/>
    <xf numFmtId="192" fontId="38" fillId="0" borderId="26" xfId="1" applyNumberFormat="1" applyFont="1" applyBorder="1" applyAlignment="1"/>
    <xf numFmtId="192" fontId="39" fillId="3" borderId="65" xfId="1" applyNumberFormat="1" applyFont="1" applyFill="1" applyBorder="1" applyAlignment="1">
      <alignment vertical="top"/>
    </xf>
    <xf numFmtId="192" fontId="39" fillId="0" borderId="57" xfId="1" applyNumberFormat="1" applyFont="1" applyBorder="1" applyAlignment="1"/>
    <xf numFmtId="0" fontId="40" fillId="0" borderId="0" xfId="0" applyFont="1" applyAlignment="1">
      <alignment horizontal="right"/>
    </xf>
    <xf numFmtId="0" fontId="40" fillId="0" borderId="0" xfId="0" applyFont="1"/>
    <xf numFmtId="192" fontId="40" fillId="0" borderId="0" xfId="1" applyNumberFormat="1" applyFont="1" applyAlignment="1"/>
    <xf numFmtId="0" fontId="41" fillId="0" borderId="0" xfId="0" applyFont="1" applyBorder="1" applyAlignment="1">
      <alignment horizontal="right" wrapText="1"/>
    </xf>
    <xf numFmtId="0" fontId="15" fillId="0" borderId="0" xfId="0" applyFont="1"/>
    <xf numFmtId="0" fontId="17" fillId="11" borderId="0" xfId="0" applyFont="1" applyFill="1" applyAlignment="1"/>
    <xf numFmtId="0" fontId="14" fillId="11" borderId="0" xfId="0" applyFont="1" applyFill="1"/>
    <xf numFmtId="57" fontId="0" fillId="0" borderId="0" xfId="0" applyNumberFormat="1" applyFill="1" applyBorder="1"/>
    <xf numFmtId="57" fontId="0" fillId="7" borderId="0" xfId="0" applyNumberFormat="1" applyFill="1" applyBorder="1"/>
    <xf numFmtId="0" fontId="42" fillId="7" borderId="0" xfId="2" applyFont="1" applyFill="1"/>
    <xf numFmtId="0" fontId="18" fillId="7" borderId="0" xfId="0" applyFont="1" applyFill="1"/>
    <xf numFmtId="38" fontId="12" fillId="0" borderId="0" xfId="1" applyFont="1" applyFill="1" applyAlignment="1"/>
    <xf numFmtId="0" fontId="0" fillId="0" borderId="0" xfId="0" applyFill="1" applyAlignment="1"/>
    <xf numFmtId="38" fontId="0" fillId="0" borderId="0" xfId="1" applyFont="1" applyFill="1" applyBorder="1" applyAlignment="1"/>
    <xf numFmtId="0" fontId="15" fillId="0" borderId="0" xfId="0" applyFont="1" applyFill="1"/>
    <xf numFmtId="0" fontId="13" fillId="8" borderId="0" xfId="2" applyFill="1"/>
    <xf numFmtId="38" fontId="15" fillId="0" borderId="0" xfId="0" applyNumberFormat="1" applyFont="1"/>
    <xf numFmtId="0" fontId="44" fillId="7" borderId="0" xfId="0" applyFont="1" applyFill="1"/>
    <xf numFmtId="0" fontId="12" fillId="0" borderId="0" xfId="0" applyFont="1" applyFill="1"/>
    <xf numFmtId="0" fontId="12" fillId="8" borderId="0" xfId="0" applyFont="1" applyFill="1" applyAlignment="1"/>
    <xf numFmtId="0" fontId="34" fillId="0" borderId="0" xfId="0" applyFont="1"/>
    <xf numFmtId="0" fontId="35" fillId="0" borderId="0" xfId="0" applyFont="1" applyAlignment="1">
      <alignment horizontal="right"/>
    </xf>
    <xf numFmtId="0" fontId="34" fillId="0" borderId="0" xfId="0" applyFont="1" applyAlignment="1">
      <alignment horizontal="right"/>
    </xf>
    <xf numFmtId="0" fontId="34" fillId="0" borderId="0" xfId="0" applyFont="1" applyAlignment="1">
      <alignment wrapText="1"/>
    </xf>
    <xf numFmtId="0" fontId="35" fillId="0" borderId="0" xfId="0" applyFont="1" applyAlignment="1">
      <alignment horizontal="center"/>
    </xf>
    <xf numFmtId="38" fontId="35" fillId="0" borderId="0" xfId="1" applyFont="1" applyAlignment="1">
      <alignment horizontal="right"/>
    </xf>
    <xf numFmtId="0" fontId="0" fillId="0" borderId="0" xfId="0" applyAlignment="1">
      <alignment horizontal="left"/>
    </xf>
    <xf numFmtId="38" fontId="12" fillId="0" borderId="0" xfId="1" applyFont="1" applyAlignment="1"/>
    <xf numFmtId="0" fontId="12" fillId="0" borderId="0" xfId="0" applyFont="1" applyAlignment="1">
      <alignment horizontal="left"/>
    </xf>
    <xf numFmtId="0" fontId="14" fillId="11" borderId="0" xfId="0" applyFont="1" applyFill="1" applyAlignment="1"/>
    <xf numFmtId="38" fontId="12" fillId="11" borderId="0" xfId="1" applyFont="1" applyFill="1" applyAlignment="1">
      <alignment horizontal="right"/>
    </xf>
    <xf numFmtId="0" fontId="0" fillId="11" borderId="0" xfId="0" applyFill="1"/>
    <xf numFmtId="0" fontId="12" fillId="0" borderId="0" xfId="0" applyFont="1" applyFill="1" applyAlignment="1">
      <alignment horizontal="right"/>
    </xf>
    <xf numFmtId="0" fontId="20" fillId="0" borderId="0" xfId="0" applyFont="1"/>
    <xf numFmtId="0" fontId="0" fillId="11" borderId="0" xfId="0" applyFill="1" applyAlignment="1">
      <alignment horizontal="right"/>
    </xf>
    <xf numFmtId="0" fontId="35" fillId="11" borderId="0" xfId="0" applyFont="1" applyFill="1" applyAlignment="1">
      <alignment horizontal="center" shrinkToFit="1"/>
    </xf>
    <xf numFmtId="38" fontId="12" fillId="0" borderId="0" xfId="0" applyNumberFormat="1" applyFont="1"/>
    <xf numFmtId="38" fontId="0" fillId="0" borderId="0" xfId="1" applyFont="1" applyAlignment="1">
      <alignment horizontal="center"/>
    </xf>
    <xf numFmtId="0" fontId="16" fillId="0" borderId="26" xfId="0" applyFont="1" applyBorder="1" applyAlignment="1">
      <alignment horizontal="right"/>
    </xf>
    <xf numFmtId="38" fontId="0" fillId="12" borderId="64" xfId="0" applyNumberFormat="1" applyFill="1" applyBorder="1" applyAlignment="1">
      <alignment vertical="top"/>
    </xf>
    <xf numFmtId="192" fontId="0" fillId="0" borderId="0" xfId="1" applyNumberFormat="1" applyFont="1" applyFill="1" applyAlignment="1"/>
    <xf numFmtId="192" fontId="38" fillId="0" borderId="26" xfId="1" applyNumberFormat="1" applyFont="1" applyFill="1" applyBorder="1" applyAlignment="1"/>
    <xf numFmtId="0" fontId="45" fillId="0" borderId="0" xfId="0" applyFont="1"/>
    <xf numFmtId="0" fontId="12" fillId="13" borderId="0" xfId="0" applyFont="1" applyFill="1"/>
    <xf numFmtId="0" fontId="0" fillId="13" borderId="0" xfId="0" applyFill="1"/>
    <xf numFmtId="0" fontId="0" fillId="0" borderId="61" xfId="0" applyBorder="1"/>
    <xf numFmtId="38" fontId="0" fillId="12" borderId="63" xfId="0" applyNumberFormat="1" applyFill="1" applyBorder="1" applyAlignment="1">
      <alignment vertical="top"/>
    </xf>
    <xf numFmtId="0" fontId="0" fillId="12" borderId="58" xfId="0" applyFill="1" applyBorder="1"/>
    <xf numFmtId="0" fontId="0" fillId="12" borderId="67" xfId="0" applyFill="1" applyBorder="1"/>
    <xf numFmtId="0" fontId="0" fillId="12" borderId="62" xfId="0" applyFill="1" applyBorder="1" applyAlignment="1">
      <alignment horizontal="right"/>
    </xf>
    <xf numFmtId="0" fontId="41" fillId="0" borderId="0" xfId="0" applyFont="1" applyAlignment="1">
      <alignment horizontal="right" wrapText="1"/>
    </xf>
    <xf numFmtId="0" fontId="20" fillId="0" borderId="26" xfId="0" applyFont="1" applyBorder="1" applyAlignment="1">
      <alignment horizontal="right"/>
    </xf>
    <xf numFmtId="192" fontId="38" fillId="0" borderId="0" xfId="1" applyNumberFormat="1" applyFont="1" applyFill="1" applyBorder="1" applyAlignment="1"/>
    <xf numFmtId="0" fontId="48" fillId="0" borderId="26" xfId="0" applyFont="1" applyBorder="1"/>
    <xf numFmtId="192" fontId="48" fillId="0" borderId="26" xfId="1" applyNumberFormat="1" applyFont="1" applyFill="1" applyBorder="1" applyAlignment="1"/>
    <xf numFmtId="0" fontId="13" fillId="0" borderId="0" xfId="2" applyFill="1"/>
    <xf numFmtId="0" fontId="32" fillId="0" borderId="0" xfId="0" applyFont="1" applyAlignment="1">
      <alignment horizontal="right" vertical="top" wrapText="1"/>
    </xf>
    <xf numFmtId="0" fontId="0" fillId="14" borderId="12" xfId="0" applyFill="1" applyBorder="1" applyAlignment="1">
      <alignment horizontal="center" vertical="center" wrapText="1"/>
    </xf>
    <xf numFmtId="0" fontId="35" fillId="0" borderId="0" xfId="0" applyFont="1"/>
    <xf numFmtId="0" fontId="0" fillId="0" borderId="70" xfId="0" applyBorder="1"/>
    <xf numFmtId="0" fontId="0" fillId="15" borderId="70" xfId="0" applyFill="1" applyBorder="1"/>
    <xf numFmtId="0" fontId="0" fillId="15" borderId="12" xfId="0" applyFill="1" applyBorder="1" applyAlignment="1">
      <alignment horizontal="center" vertical="center"/>
    </xf>
    <xf numFmtId="0" fontId="12" fillId="15" borderId="12" xfId="0" applyFont="1" applyFill="1" applyBorder="1" applyAlignment="1">
      <alignment vertical="center" wrapText="1"/>
    </xf>
    <xf numFmtId="0" fontId="0" fillId="15" borderId="12" xfId="0" applyFill="1" applyBorder="1" applyAlignment="1">
      <alignment vertical="top" wrapText="1"/>
    </xf>
    <xf numFmtId="0" fontId="0" fillId="15" borderId="12" xfId="0" applyFill="1" applyBorder="1" applyAlignment="1">
      <alignment horizontal="center" vertical="center" wrapText="1"/>
    </xf>
    <xf numFmtId="0" fontId="18" fillId="15" borderId="12" xfId="0" applyFont="1" applyFill="1" applyBorder="1" applyAlignment="1">
      <alignment vertical="center" wrapText="1"/>
    </xf>
    <xf numFmtId="0" fontId="0" fillId="0" borderId="0" xfId="0" applyBorder="1" applyAlignment="1">
      <alignment horizontal="center"/>
    </xf>
    <xf numFmtId="38" fontId="0" fillId="0" borderId="0" xfId="1" applyFont="1" applyBorder="1" applyAlignment="1">
      <alignment horizontal="center"/>
    </xf>
    <xf numFmtId="38" fontId="0" fillId="0" borderId="0" xfId="1" applyFont="1" applyBorder="1" applyAlignment="1"/>
    <xf numFmtId="192" fontId="39" fillId="0" borderId="0" xfId="1" applyNumberFormat="1" applyFont="1" applyBorder="1" applyAlignment="1"/>
    <xf numFmtId="192" fontId="38" fillId="0" borderId="0" xfId="1" applyNumberFormat="1" applyFont="1" applyBorder="1" applyAlignment="1"/>
    <xf numFmtId="192" fontId="12" fillId="0" borderId="0" xfId="1" applyNumberFormat="1" applyFont="1" applyAlignment="1">
      <alignment shrinkToFit="1"/>
    </xf>
    <xf numFmtId="0" fontId="49" fillId="0" borderId="0" xfId="0" applyFont="1"/>
    <xf numFmtId="0" fontId="49" fillId="0" borderId="0" xfId="0" applyFont="1" applyBorder="1"/>
    <xf numFmtId="0" fontId="49" fillId="0" borderId="36" xfId="0" applyFont="1" applyBorder="1"/>
    <xf numFmtId="0" fontId="49" fillId="2" borderId="31" xfId="0" applyFont="1" applyFill="1" applyBorder="1" applyAlignment="1">
      <alignment horizontal="center"/>
    </xf>
    <xf numFmtId="0" fontId="14" fillId="0" borderId="0" xfId="0" applyFont="1"/>
    <xf numFmtId="0" fontId="50" fillId="0" borderId="0" xfId="0" applyFont="1" applyAlignment="1">
      <alignment vertical="top"/>
    </xf>
    <xf numFmtId="0" fontId="52" fillId="4" borderId="0" xfId="2" quotePrefix="1" applyFont="1" applyFill="1"/>
    <xf numFmtId="0" fontId="0" fillId="3" borderId="29" xfId="0" applyFill="1" applyBorder="1" applyAlignment="1">
      <alignment horizontal="center" vertical="center"/>
    </xf>
    <xf numFmtId="0" fontId="0" fillId="0" borderId="5" xfId="0" applyBorder="1" applyAlignment="1">
      <alignment vertical="center"/>
    </xf>
    <xf numFmtId="0" fontId="0" fillId="3" borderId="10" xfId="0" applyFill="1" applyBorder="1" applyAlignment="1">
      <alignment horizontal="center" vertical="center"/>
    </xf>
    <xf numFmtId="0" fontId="0" fillId="0" borderId="28" xfId="0" applyBorder="1" applyAlignment="1">
      <alignment vertical="center"/>
    </xf>
    <xf numFmtId="0" fontId="0" fillId="0" borderId="24" xfId="0" applyBorder="1" applyAlignment="1">
      <alignment vertical="center"/>
    </xf>
    <xf numFmtId="0" fontId="0" fillId="0" borderId="24" xfId="0" applyBorder="1" applyAlignment="1">
      <alignment vertical="center" wrapText="1"/>
    </xf>
    <xf numFmtId="0" fontId="0" fillId="0" borderId="24" xfId="0" applyBorder="1" applyAlignment="1">
      <alignment horizontal="center" vertical="center" wrapText="1"/>
    </xf>
    <xf numFmtId="0" fontId="0" fillId="0" borderId="30" xfId="0" applyBorder="1" applyAlignment="1">
      <alignment horizontal="center" vertical="center" wrapText="1"/>
    </xf>
    <xf numFmtId="0" fontId="0" fillId="0" borderId="78" xfId="0" applyBorder="1" applyAlignment="1">
      <alignment horizontal="center" vertical="center" wrapText="1"/>
    </xf>
    <xf numFmtId="0" fontId="0" fillId="0" borderId="80" xfId="0" applyBorder="1" applyAlignment="1">
      <alignment horizontal="center" vertical="center"/>
    </xf>
    <xf numFmtId="0" fontId="0" fillId="0" borderId="82" xfId="0" applyBorder="1" applyAlignment="1">
      <alignment horizontal="center" vertical="center"/>
    </xf>
    <xf numFmtId="0" fontId="0" fillId="0" borderId="84" xfId="0" applyBorder="1" applyAlignment="1">
      <alignment horizontal="center" vertical="center" wrapText="1"/>
    </xf>
    <xf numFmtId="0" fontId="0" fillId="0" borderId="30" xfId="0" applyBorder="1" applyAlignment="1">
      <alignment vertical="center"/>
    </xf>
    <xf numFmtId="0" fontId="0" fillId="0" borderId="29" xfId="0" applyBorder="1" applyAlignment="1">
      <alignment vertical="center"/>
    </xf>
    <xf numFmtId="0" fontId="12" fillId="0" borderId="33" xfId="0" applyFont="1" applyBorder="1" applyAlignment="1">
      <alignment horizontal="center" vertical="center"/>
    </xf>
    <xf numFmtId="0" fontId="12" fillId="0" borderId="32" xfId="0" applyFont="1" applyBorder="1" applyAlignment="1">
      <alignment horizontal="center" vertical="center"/>
    </xf>
    <xf numFmtId="0" fontId="12" fillId="0" borderId="34" xfId="0" applyFont="1" applyBorder="1" applyAlignment="1">
      <alignment horizontal="center" vertical="center"/>
    </xf>
    <xf numFmtId="0" fontId="12" fillId="0" borderId="77" xfId="0" applyFont="1" applyBorder="1" applyAlignment="1">
      <alignment horizontal="center" vertical="center"/>
    </xf>
    <xf numFmtId="0" fontId="12" fillId="0" borderId="79" xfId="0" applyFont="1" applyBorder="1" applyAlignment="1">
      <alignment horizontal="center" vertical="center"/>
    </xf>
    <xf numFmtId="0" fontId="12" fillId="0" borderId="81" xfId="0" applyFont="1" applyBorder="1" applyAlignment="1">
      <alignment horizontal="center" vertical="center"/>
    </xf>
    <xf numFmtId="0" fontId="12" fillId="0" borderId="83" xfId="0" applyFont="1" applyBorder="1" applyAlignment="1">
      <alignment horizontal="center" vertical="center"/>
    </xf>
    <xf numFmtId="0" fontId="12" fillId="0" borderId="35" xfId="0" applyFont="1" applyBorder="1" applyAlignment="1">
      <alignment horizontal="center"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21" xfId="0" applyFont="1" applyBorder="1" applyAlignment="1">
      <alignment horizontal="center" vertical="center"/>
    </xf>
    <xf numFmtId="0" fontId="12" fillId="0" borderId="71" xfId="0" applyFont="1" applyBorder="1" applyAlignment="1">
      <alignment horizontal="center" vertical="center"/>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11" xfId="0" applyFont="1" applyBorder="1" applyAlignment="1">
      <alignment horizontal="center" vertical="center"/>
    </xf>
    <xf numFmtId="0" fontId="12" fillId="0" borderId="18" xfId="0" applyFont="1" applyBorder="1" applyAlignment="1">
      <alignment horizontal="center" vertical="center"/>
    </xf>
    <xf numFmtId="0" fontId="12" fillId="0" borderId="17" xfId="0" applyFont="1" applyBorder="1" applyAlignment="1">
      <alignment horizontal="center" vertical="center"/>
    </xf>
    <xf numFmtId="0" fontId="12" fillId="0" borderId="15" xfId="0" applyFont="1" applyBorder="1" applyAlignment="1">
      <alignment horizontal="center" vertical="center"/>
    </xf>
    <xf numFmtId="0" fontId="10" fillId="0" borderId="0" xfId="0" applyFont="1" applyBorder="1" applyAlignment="1">
      <alignment vertical="center"/>
    </xf>
    <xf numFmtId="179" fontId="12" fillId="16" borderId="91" xfId="0" applyNumberFormat="1" applyFont="1" applyFill="1" applyBorder="1" applyAlignment="1">
      <alignment horizontal="center" vertical="center"/>
    </xf>
    <xf numFmtId="177" fontId="12" fillId="16" borderId="88" xfId="1" applyNumberFormat="1" applyFont="1" applyFill="1" applyBorder="1" applyAlignment="1">
      <alignment vertical="center"/>
    </xf>
    <xf numFmtId="179" fontId="12" fillId="16" borderId="87" xfId="0" applyNumberFormat="1" applyFont="1" applyFill="1" applyBorder="1" applyAlignment="1">
      <alignment horizontal="center" vertical="center"/>
    </xf>
    <xf numFmtId="179" fontId="12" fillId="16" borderId="67" xfId="0" applyNumberFormat="1" applyFont="1" applyFill="1" applyBorder="1" applyAlignment="1">
      <alignment horizontal="center" vertical="center"/>
    </xf>
    <xf numFmtId="177" fontId="12" fillId="16" borderId="96" xfId="1" applyNumberFormat="1" applyFont="1" applyFill="1" applyBorder="1" applyAlignment="1">
      <alignment vertical="center"/>
    </xf>
    <xf numFmtId="0" fontId="12" fillId="0" borderId="30" xfId="0" applyFont="1" applyBorder="1" applyAlignment="1">
      <alignment horizontal="center" vertical="center"/>
    </xf>
    <xf numFmtId="0" fontId="12" fillId="16" borderId="99" xfId="0" applyFont="1" applyFill="1" applyBorder="1" applyAlignment="1">
      <alignment horizontal="center" vertical="center"/>
    </xf>
    <xf numFmtId="0" fontId="12" fillId="16" borderId="100" xfId="0" applyFont="1" applyFill="1"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0" fillId="0" borderId="103" xfId="0" applyBorder="1" applyAlignment="1">
      <alignment horizontal="center" vertical="center"/>
    </xf>
    <xf numFmtId="0" fontId="0" fillId="0" borderId="102" xfId="0" applyBorder="1" applyAlignment="1">
      <alignment horizontal="center" vertical="center" shrinkToFit="1"/>
    </xf>
    <xf numFmtId="0" fontId="0" fillId="0" borderId="104" xfId="0" applyBorder="1" applyAlignment="1">
      <alignment horizontal="center" vertical="center"/>
    </xf>
    <xf numFmtId="0" fontId="0" fillId="0" borderId="104" xfId="0" applyBorder="1" applyAlignment="1">
      <alignment horizontal="center" vertical="center" shrinkToFit="1"/>
    </xf>
    <xf numFmtId="0" fontId="52" fillId="0" borderId="0" xfId="2" applyFont="1"/>
    <xf numFmtId="0" fontId="5" fillId="0" borderId="0" xfId="0" applyFont="1" applyFill="1"/>
    <xf numFmtId="0" fontId="0" fillId="0" borderId="42" xfId="0" applyBorder="1" applyAlignment="1">
      <alignment horizontal="right" vertical="center"/>
    </xf>
    <xf numFmtId="0" fontId="0" fillId="15" borderId="0" xfId="0" applyFill="1"/>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53" fillId="15" borderId="0" xfId="0" applyFont="1" applyFill="1"/>
    <xf numFmtId="0" fontId="0" fillId="15" borderId="27" xfId="0" applyFill="1" applyBorder="1" applyAlignment="1">
      <alignment horizontal="center" vertical="center"/>
    </xf>
    <xf numFmtId="0" fontId="0" fillId="15" borderId="10" xfId="0" applyFill="1" applyBorder="1" applyAlignment="1">
      <alignment horizontal="center" vertical="center"/>
    </xf>
    <xf numFmtId="0" fontId="0" fillId="15" borderId="9" xfId="0" applyFill="1" applyBorder="1" applyAlignment="1">
      <alignment horizontal="center" vertical="center"/>
    </xf>
    <xf numFmtId="0" fontId="0" fillId="15" borderId="106" xfId="0" applyFill="1" applyBorder="1" applyAlignment="1">
      <alignment vertical="center"/>
    </xf>
    <xf numFmtId="0" fontId="0" fillId="15" borderId="107" xfId="0" applyFill="1" applyBorder="1" applyAlignment="1"/>
    <xf numFmtId="0" fontId="0" fillId="15" borderId="108" xfId="0" applyFill="1" applyBorder="1" applyAlignment="1"/>
    <xf numFmtId="0" fontId="0" fillId="15" borderId="25" xfId="0" applyFill="1" applyBorder="1" applyAlignment="1">
      <alignment vertical="center"/>
    </xf>
    <xf numFmtId="0" fontId="0" fillId="15" borderId="14" xfId="0" applyFill="1" applyBorder="1" applyAlignment="1">
      <alignment vertical="center"/>
    </xf>
    <xf numFmtId="0" fontId="0" fillId="15" borderId="109" xfId="0" applyFill="1" applyBorder="1" applyAlignment="1"/>
    <xf numFmtId="38" fontId="0" fillId="3" borderId="0" xfId="1" applyFont="1" applyFill="1" applyAlignment="1">
      <alignment horizontal="right"/>
    </xf>
    <xf numFmtId="38" fontId="0" fillId="2" borderId="31" xfId="1" applyFont="1" applyFill="1" applyBorder="1" applyAlignment="1" applyProtection="1">
      <protection locked="0"/>
    </xf>
    <xf numFmtId="0" fontId="12" fillId="2" borderId="31" xfId="0" applyFont="1" applyFill="1" applyBorder="1" applyAlignment="1" applyProtection="1">
      <alignment horizontal="right"/>
      <protection locked="0"/>
    </xf>
    <xf numFmtId="57" fontId="0" fillId="2" borderId="31" xfId="0" applyNumberFormat="1" applyFill="1" applyBorder="1" applyProtection="1">
      <protection locked="0"/>
    </xf>
    <xf numFmtId="0" fontId="18" fillId="2" borderId="31" xfId="0" applyFont="1" applyFill="1" applyBorder="1" applyProtection="1">
      <protection locked="0"/>
    </xf>
    <xf numFmtId="179" fontId="0" fillId="2" borderId="31" xfId="0" applyNumberFormat="1" applyFill="1" applyBorder="1" applyProtection="1">
      <protection locked="0"/>
    </xf>
    <xf numFmtId="0" fontId="0" fillId="2" borderId="31" xfId="0" applyFill="1" applyBorder="1" applyProtection="1">
      <protection locked="0"/>
    </xf>
    <xf numFmtId="0" fontId="0" fillId="8" borderId="0" xfId="0" applyFill="1" applyProtection="1">
      <protection locked="0"/>
    </xf>
    <xf numFmtId="0" fontId="0" fillId="15" borderId="111" xfId="0" applyFill="1" applyBorder="1" applyAlignment="1">
      <alignment horizontal="center" vertical="center"/>
    </xf>
    <xf numFmtId="0" fontId="0" fillId="14" borderId="111" xfId="0" applyFill="1" applyBorder="1" applyAlignment="1">
      <alignment horizontal="center" vertical="center" wrapText="1"/>
    </xf>
    <xf numFmtId="0" fontId="0" fillId="15" borderId="111" xfId="0" applyFill="1" applyBorder="1" applyAlignment="1">
      <alignment horizontal="center" vertical="center" wrapText="1"/>
    </xf>
    <xf numFmtId="0" fontId="12" fillId="15" borderId="104" xfId="0" applyFont="1" applyFill="1" applyBorder="1" applyAlignment="1">
      <alignment vertical="center" wrapText="1"/>
    </xf>
    <xf numFmtId="0" fontId="0" fillId="14" borderId="104" xfId="0" applyFill="1" applyBorder="1" applyAlignment="1">
      <alignment horizontal="center" vertical="center" wrapText="1"/>
    </xf>
    <xf numFmtId="0" fontId="0" fillId="15" borderId="110" xfId="0" applyFill="1" applyBorder="1" applyAlignment="1">
      <alignment horizontal="center" vertical="center" wrapText="1"/>
    </xf>
    <xf numFmtId="57" fontId="0" fillId="0" borderId="0" xfId="0" applyNumberFormat="1"/>
    <xf numFmtId="0" fontId="55" fillId="0" borderId="0" xfId="3" applyFont="1">
      <alignment vertical="center"/>
    </xf>
    <xf numFmtId="0" fontId="2" fillId="0" borderId="0" xfId="3">
      <alignment vertical="center"/>
    </xf>
    <xf numFmtId="0" fontId="56" fillId="0" borderId="0" xfId="3" applyFont="1">
      <alignment vertical="center"/>
    </xf>
    <xf numFmtId="0" fontId="56" fillId="6" borderId="12" xfId="3" applyFont="1" applyFill="1" applyBorder="1" applyAlignment="1">
      <alignment horizontal="center" vertical="center"/>
    </xf>
    <xf numFmtId="0" fontId="56" fillId="12" borderId="12" xfId="3" applyFont="1" applyFill="1" applyBorder="1" applyAlignment="1">
      <alignment horizontal="center" vertical="center"/>
    </xf>
    <xf numFmtId="193" fontId="2" fillId="0" borderId="0" xfId="3" applyNumberFormat="1">
      <alignment vertical="center"/>
    </xf>
    <xf numFmtId="0" fontId="2" fillId="0" borderId="12" xfId="3" applyBorder="1">
      <alignment vertical="center"/>
    </xf>
    <xf numFmtId="194" fontId="12" fillId="0" borderId="12" xfId="3" applyNumberFormat="1" applyFont="1" applyBorder="1">
      <alignment vertical="center"/>
    </xf>
    <xf numFmtId="0" fontId="14" fillId="0" borderId="0" xfId="3" applyFont="1">
      <alignment vertical="center"/>
    </xf>
    <xf numFmtId="0" fontId="2" fillId="0" borderId="112" xfId="3" applyBorder="1" applyAlignment="1">
      <alignment horizontal="right" vertical="center"/>
    </xf>
    <xf numFmtId="0" fontId="2" fillId="0" borderId="112" xfId="3" applyBorder="1">
      <alignment vertical="center"/>
    </xf>
    <xf numFmtId="0" fontId="2" fillId="0" borderId="113" xfId="3" applyBorder="1">
      <alignment vertical="center"/>
    </xf>
    <xf numFmtId="0" fontId="2" fillId="0" borderId="114" xfId="3" applyBorder="1">
      <alignment vertical="center"/>
    </xf>
    <xf numFmtId="0" fontId="57" fillId="6" borderId="10" xfId="3" applyFont="1" applyFill="1" applyBorder="1" applyAlignment="1">
      <alignment horizontal="center" vertical="center"/>
    </xf>
    <xf numFmtId="0" fontId="12" fillId="6" borderId="11" xfId="3" applyFont="1" applyFill="1" applyBorder="1" applyAlignment="1">
      <alignment horizontal="center" vertical="center"/>
    </xf>
    <xf numFmtId="0" fontId="12" fillId="12" borderId="115" xfId="3" applyFont="1" applyFill="1" applyBorder="1" applyAlignment="1">
      <alignment horizontal="center" vertical="center"/>
    </xf>
    <xf numFmtId="0" fontId="57" fillId="6" borderId="116" xfId="3" applyFont="1" applyFill="1" applyBorder="1" applyAlignment="1">
      <alignment horizontal="center" vertical="center"/>
    </xf>
    <xf numFmtId="0" fontId="57" fillId="0" borderId="3" xfId="3" applyFont="1" applyBorder="1" applyAlignment="1">
      <alignment horizontal="center" vertical="center"/>
    </xf>
    <xf numFmtId="0" fontId="18" fillId="0" borderId="12" xfId="3" applyFont="1" applyBorder="1">
      <alignment vertical="center"/>
    </xf>
    <xf numFmtId="0" fontId="57" fillId="0" borderId="118" xfId="3" applyFont="1" applyBorder="1">
      <alignment vertical="center"/>
    </xf>
    <xf numFmtId="0" fontId="57" fillId="0" borderId="119" xfId="3" applyFont="1" applyBorder="1" applyAlignment="1">
      <alignment horizontal="center" vertical="center"/>
    </xf>
    <xf numFmtId="0" fontId="18" fillId="0" borderId="120" xfId="3" applyFont="1" applyBorder="1">
      <alignment vertical="center"/>
    </xf>
    <xf numFmtId="0" fontId="2" fillId="0" borderId="122" xfId="3" applyBorder="1">
      <alignment vertical="center"/>
    </xf>
    <xf numFmtId="0" fontId="57" fillId="0" borderId="123" xfId="3" applyFont="1" applyBorder="1">
      <alignment vertical="center"/>
    </xf>
    <xf numFmtId="0" fontId="57" fillId="0" borderId="124" xfId="3" applyFont="1" applyBorder="1" applyAlignment="1">
      <alignment horizontal="center" vertical="center"/>
    </xf>
    <xf numFmtId="0" fontId="18" fillId="0" borderId="125" xfId="3" applyFont="1" applyBorder="1">
      <alignment vertical="center"/>
    </xf>
    <xf numFmtId="0" fontId="18" fillId="0" borderId="126" xfId="3" applyFont="1" applyBorder="1">
      <alignment vertical="center"/>
    </xf>
    <xf numFmtId="0" fontId="57" fillId="0" borderId="127" xfId="3" applyFont="1" applyBorder="1">
      <alignment vertical="center"/>
    </xf>
    <xf numFmtId="193" fontId="2" fillId="9" borderId="12" xfId="3" applyNumberFormat="1" applyFill="1" applyBorder="1" applyProtection="1">
      <alignment vertical="center"/>
      <protection locked="0"/>
    </xf>
    <xf numFmtId="0" fontId="18" fillId="9" borderId="117" xfId="3" applyFont="1" applyFill="1" applyBorder="1" applyProtection="1">
      <alignment vertical="center"/>
      <protection locked="0"/>
    </xf>
    <xf numFmtId="0" fontId="18" fillId="9" borderId="121" xfId="3" applyFont="1" applyFill="1" applyBorder="1" applyProtection="1">
      <alignment vertical="center"/>
      <protection locked="0"/>
    </xf>
    <xf numFmtId="0" fontId="2" fillId="9" borderId="12" xfId="3" applyFill="1" applyBorder="1" applyProtection="1">
      <alignment vertical="center"/>
      <protection locked="0"/>
    </xf>
    <xf numFmtId="0" fontId="12" fillId="0" borderId="0" xfId="3" applyFont="1">
      <alignment vertical="center"/>
    </xf>
    <xf numFmtId="0" fontId="56" fillId="0" borderId="12" xfId="3" applyFont="1" applyFill="1" applyBorder="1" applyAlignment="1">
      <alignment horizontal="center" vertical="center"/>
    </xf>
    <xf numFmtId="0" fontId="2" fillId="0" borderId="12" xfId="3" applyNumberFormat="1" applyBorder="1">
      <alignment vertical="center"/>
    </xf>
    <xf numFmtId="0" fontId="1" fillId="0" borderId="0" xfId="3" applyFont="1">
      <alignment vertical="center"/>
    </xf>
    <xf numFmtId="0" fontId="20" fillId="0" borderId="0" xfId="0" applyFont="1" applyAlignment="1">
      <alignment horizontal="right"/>
    </xf>
    <xf numFmtId="0" fontId="48" fillId="0" borderId="0" xfId="0" applyFont="1" applyAlignment="1">
      <alignment horizontal="right"/>
    </xf>
    <xf numFmtId="0" fontId="23" fillId="0" borderId="0" xfId="0" applyFont="1"/>
    <xf numFmtId="192" fontId="39" fillId="0" borderId="0" xfId="1" applyNumberFormat="1" applyFont="1" applyAlignment="1"/>
    <xf numFmtId="0" fontId="0" fillId="0" borderId="0" xfId="0" applyBorder="1" applyAlignment="1">
      <alignment horizontal="right"/>
    </xf>
    <xf numFmtId="0" fontId="59" fillId="0" borderId="0" xfId="0" applyFont="1"/>
    <xf numFmtId="0" fontId="59" fillId="11" borderId="0" xfId="0" applyFont="1" applyFill="1"/>
    <xf numFmtId="0" fontId="2" fillId="0" borderId="12" xfId="3" applyBorder="1" applyProtection="1">
      <alignment vertical="center"/>
    </xf>
    <xf numFmtId="0" fontId="60" fillId="0" borderId="0" xfId="2" applyFont="1"/>
    <xf numFmtId="38" fontId="17" fillId="0" borderId="37" xfId="0" applyNumberFormat="1" applyFont="1" applyBorder="1" applyAlignment="1">
      <alignment horizontal="right"/>
    </xf>
    <xf numFmtId="38" fontId="17" fillId="0" borderId="38" xfId="0" applyNumberFormat="1" applyFont="1" applyBorder="1" applyAlignment="1">
      <alignment horizontal="right"/>
    </xf>
    <xf numFmtId="0" fontId="32" fillId="0" borderId="0" xfId="0" applyFont="1" applyAlignment="1">
      <alignment vertical="center" wrapText="1"/>
    </xf>
    <xf numFmtId="0" fontId="33" fillId="0" borderId="0" xfId="0" applyFont="1" applyAlignment="1">
      <alignment vertical="center" wrapText="1"/>
    </xf>
    <xf numFmtId="0" fontId="51" fillId="7" borderId="0" xfId="0" applyFont="1" applyFill="1" applyAlignment="1">
      <alignment wrapText="1"/>
    </xf>
    <xf numFmtId="0" fontId="0" fillId="3" borderId="28" xfId="0" applyFill="1" applyBorder="1" applyAlignment="1">
      <alignment horizontal="center" vertical="center"/>
    </xf>
    <xf numFmtId="0" fontId="0" fillId="3" borderId="30" xfId="0" applyFill="1" applyBorder="1" applyAlignment="1">
      <alignment horizontal="center" vertical="center"/>
    </xf>
    <xf numFmtId="0" fontId="0" fillId="3" borderId="29" xfId="0" applyFill="1" applyBorder="1" applyAlignment="1">
      <alignment horizontal="center" vertical="center"/>
    </xf>
    <xf numFmtId="192" fontId="38" fillId="12" borderId="60" xfId="0" applyNumberFormat="1" applyFont="1" applyFill="1" applyBorder="1" applyAlignment="1">
      <alignment horizontal="right" vertical="top" wrapText="1"/>
    </xf>
    <xf numFmtId="192" fontId="38" fillId="12" borderId="61" xfId="0" applyNumberFormat="1" applyFont="1" applyFill="1" applyBorder="1" applyAlignment="1">
      <alignment horizontal="right" vertical="top" wrapText="1"/>
    </xf>
    <xf numFmtId="192" fontId="38" fillId="12" borderId="0" xfId="0" applyNumberFormat="1" applyFont="1" applyFill="1" applyBorder="1" applyAlignment="1">
      <alignment horizontal="right" vertical="top" wrapText="1"/>
    </xf>
    <xf numFmtId="192" fontId="48" fillId="9" borderId="69" xfId="0" applyNumberFormat="1" applyFont="1" applyFill="1" applyBorder="1" applyAlignment="1">
      <alignment vertical="top" wrapText="1"/>
    </xf>
    <xf numFmtId="192" fontId="48" fillId="9" borderId="68" xfId="0" applyNumberFormat="1" applyFont="1" applyFill="1" applyBorder="1" applyAlignment="1">
      <alignment vertical="top" wrapText="1"/>
    </xf>
    <xf numFmtId="0" fontId="35" fillId="0" borderId="0" xfId="0" applyFont="1" applyAlignment="1">
      <alignment wrapText="1"/>
    </xf>
    <xf numFmtId="0" fontId="35" fillId="0" borderId="63" xfId="0" applyFont="1" applyBorder="1" applyAlignment="1">
      <alignment wrapText="1"/>
    </xf>
    <xf numFmtId="0" fontId="35" fillId="0" borderId="0" xfId="0" applyFont="1" applyBorder="1" applyAlignment="1">
      <alignment horizontal="right" wrapText="1"/>
    </xf>
    <xf numFmtId="0" fontId="34" fillId="0" borderId="0" xfId="0" applyFont="1" applyBorder="1" applyAlignment="1">
      <alignment horizontal="right"/>
    </xf>
    <xf numFmtId="0" fontId="0" fillId="3" borderId="6" xfId="0" quotePrefix="1" applyFill="1" applyBorder="1" applyAlignment="1">
      <alignment horizontal="center"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3" xfId="0" applyFill="1" applyBorder="1" applyAlignment="1">
      <alignment horizontal="center" vertical="center"/>
    </xf>
    <xf numFmtId="0" fontId="12" fillId="16" borderId="58" xfId="0" applyFont="1" applyFill="1" applyBorder="1" applyAlignment="1">
      <alignment horizontal="center" vertical="center"/>
    </xf>
    <xf numFmtId="0" fontId="12" fillId="16" borderId="60" xfId="0" applyFont="1" applyFill="1" applyBorder="1" applyAlignment="1">
      <alignment horizontal="center" vertical="center"/>
    </xf>
    <xf numFmtId="0" fontId="12" fillId="16" borderId="67" xfId="0" applyFont="1" applyFill="1" applyBorder="1" applyAlignment="1">
      <alignment horizontal="center" vertical="center"/>
    </xf>
    <xf numFmtId="0" fontId="12" fillId="16" borderId="61" xfId="0" applyFont="1" applyFill="1" applyBorder="1" applyAlignment="1">
      <alignment horizontal="center" vertical="center"/>
    </xf>
    <xf numFmtId="0" fontId="12" fillId="16" borderId="66" xfId="0" applyFont="1" applyFill="1" applyBorder="1" applyAlignment="1">
      <alignment horizontal="center" vertical="center"/>
    </xf>
    <xf numFmtId="0" fontId="12" fillId="16" borderId="76" xfId="0" applyFont="1" applyFill="1" applyBorder="1" applyAlignment="1">
      <alignment horizontal="center" vertical="center"/>
    </xf>
    <xf numFmtId="0" fontId="0" fillId="3" borderId="74" xfId="0" applyFill="1" applyBorder="1" applyAlignment="1">
      <alignment horizontal="center" vertical="center"/>
    </xf>
    <xf numFmtId="0" fontId="0" fillId="3" borderId="25" xfId="0" applyFill="1" applyBorder="1" applyAlignment="1">
      <alignment horizontal="center" vertical="center"/>
    </xf>
    <xf numFmtId="0" fontId="0" fillId="3" borderId="57" xfId="0" applyFill="1" applyBorder="1" applyAlignment="1">
      <alignment horizontal="center" vertical="center"/>
    </xf>
    <xf numFmtId="0" fontId="0" fillId="3" borderId="26" xfId="0" applyFill="1" applyBorder="1" applyAlignment="1">
      <alignment horizontal="center" vertical="center"/>
    </xf>
    <xf numFmtId="0" fontId="0" fillId="3" borderId="74"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57" xfId="0" applyFill="1" applyBorder="1" applyAlignment="1">
      <alignment horizontal="center" vertical="center" wrapText="1"/>
    </xf>
    <xf numFmtId="0" fontId="0" fillId="3" borderId="26" xfId="0" applyFill="1" applyBorder="1" applyAlignment="1">
      <alignment horizontal="center" vertical="center" wrapText="1"/>
    </xf>
    <xf numFmtId="0" fontId="0" fillId="3" borderId="75" xfId="0" applyFill="1" applyBorder="1" applyAlignment="1">
      <alignment horizontal="center" vertical="center" wrapText="1"/>
    </xf>
    <xf numFmtId="0" fontId="0" fillId="3" borderId="27" xfId="0" applyFill="1" applyBorder="1" applyAlignment="1">
      <alignment horizontal="center" vertical="center" wrapText="1"/>
    </xf>
    <xf numFmtId="0" fontId="0" fillId="3" borderId="14" xfId="0" applyFill="1" applyBorder="1" applyAlignment="1">
      <alignment horizontal="distributed" vertical="center" indent="7"/>
    </xf>
    <xf numFmtId="0" fontId="0" fillId="3" borderId="7" xfId="0" applyFill="1" applyBorder="1" applyAlignment="1">
      <alignment horizontal="distributed" vertical="center" indent="7"/>
    </xf>
    <xf numFmtId="0" fontId="0" fillId="3" borderId="13" xfId="0" applyFill="1" applyBorder="1" applyAlignment="1">
      <alignment horizontal="distributed" vertical="center" indent="7"/>
    </xf>
    <xf numFmtId="0" fontId="0" fillId="3" borderId="10" xfId="0" applyFill="1" applyBorder="1" applyAlignment="1">
      <alignment horizontal="distributed" vertical="center" indent="7"/>
    </xf>
    <xf numFmtId="57" fontId="0" fillId="3" borderId="14" xfId="0" applyNumberFormat="1" applyFill="1" applyBorder="1" applyAlignment="1">
      <alignment horizontal="center" vertical="center"/>
    </xf>
    <xf numFmtId="0" fontId="0" fillId="3" borderId="57" xfId="0" applyFill="1" applyBorder="1" applyAlignment="1">
      <alignment horizontal="center" vertical="top"/>
    </xf>
    <xf numFmtId="0" fontId="0" fillId="3" borderId="26" xfId="0" applyFill="1" applyBorder="1" applyAlignment="1">
      <alignment horizontal="center" vertical="top"/>
    </xf>
    <xf numFmtId="0" fontId="0" fillId="3" borderId="75" xfId="0" applyFill="1" applyBorder="1" applyAlignment="1">
      <alignment horizontal="center" vertical="top"/>
    </xf>
    <xf numFmtId="0" fontId="0" fillId="3" borderId="27" xfId="0" applyFill="1" applyBorder="1" applyAlignment="1">
      <alignment horizontal="center" vertical="top"/>
    </xf>
    <xf numFmtId="0" fontId="0" fillId="3" borderId="89" xfId="0" applyFill="1" applyBorder="1" applyAlignment="1">
      <alignment horizontal="center" vertical="center" wrapText="1"/>
    </xf>
    <xf numFmtId="0" fontId="0" fillId="3" borderId="66" xfId="0" applyFill="1" applyBorder="1" applyAlignment="1">
      <alignment horizontal="center" vertical="center" wrapText="1"/>
    </xf>
    <xf numFmtId="0" fontId="12" fillId="0" borderId="33" xfId="0" applyFont="1" applyBorder="1" applyAlignment="1">
      <alignment horizontal="center" vertical="center"/>
    </xf>
    <xf numFmtId="0" fontId="12" fillId="0" borderId="35" xfId="0" applyFont="1" applyBorder="1" applyAlignment="1">
      <alignment horizontal="center" vertical="center"/>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12" fillId="0" borderId="34" xfId="0" applyFont="1" applyBorder="1" applyAlignment="1">
      <alignment horizontal="center" vertical="center"/>
    </xf>
    <xf numFmtId="0" fontId="0" fillId="3" borderId="74" xfId="0" quotePrefix="1" applyFill="1" applyBorder="1" applyAlignment="1">
      <alignment horizontal="center" vertical="center"/>
    </xf>
    <xf numFmtId="0" fontId="0" fillId="3" borderId="14" xfId="0" applyFill="1" applyBorder="1" applyAlignment="1">
      <alignment horizontal="center" vertical="center"/>
    </xf>
    <xf numFmtId="0" fontId="0" fillId="0" borderId="30" xfId="0" applyBorder="1" applyAlignment="1">
      <alignment horizontal="center" vertical="center" wrapText="1"/>
    </xf>
    <xf numFmtId="179" fontId="12" fillId="16" borderId="92" xfId="0" applyNumberFormat="1" applyFont="1" applyFill="1" applyBorder="1" applyAlignment="1">
      <alignment horizontal="center" vertical="center"/>
    </xf>
    <xf numFmtId="179" fontId="12" fillId="16" borderId="93" xfId="0" applyNumberFormat="1" applyFont="1" applyFill="1" applyBorder="1" applyAlignment="1">
      <alignment horizontal="center" vertical="center"/>
    </xf>
    <xf numFmtId="177" fontId="12" fillId="16" borderId="90" xfId="1" applyNumberFormat="1" applyFont="1" applyFill="1" applyBorder="1" applyAlignment="1">
      <alignment vertical="center"/>
    </xf>
    <xf numFmtId="177" fontId="12" fillId="16" borderId="94" xfId="1" applyNumberFormat="1" applyFont="1" applyFill="1" applyBorder="1" applyAlignment="1">
      <alignment vertical="center"/>
    </xf>
    <xf numFmtId="0" fontId="12" fillId="0" borderId="7" xfId="0" applyFont="1" applyBorder="1" applyAlignment="1">
      <alignment horizontal="center" vertical="center"/>
    </xf>
    <xf numFmtId="0" fontId="12" fillId="0" borderId="10"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179" fontId="12" fillId="16" borderId="95" xfId="0" applyNumberFormat="1" applyFont="1" applyFill="1" applyBorder="1" applyAlignment="1">
      <alignment horizontal="center" vertical="center"/>
    </xf>
    <xf numFmtId="177" fontId="12" fillId="16" borderId="96" xfId="1" applyNumberFormat="1" applyFont="1" applyFill="1" applyBorder="1" applyAlignment="1">
      <alignment vertical="center"/>
    </xf>
    <xf numFmtId="0" fontId="12" fillId="0" borderId="8" xfId="0" applyFont="1" applyBorder="1" applyAlignment="1">
      <alignment horizontal="center" vertical="center"/>
    </xf>
    <xf numFmtId="0" fontId="12" fillId="0" borderId="30" xfId="0" applyFont="1" applyBorder="1" applyAlignment="1">
      <alignment horizontal="center" vertical="center"/>
    </xf>
    <xf numFmtId="0" fontId="0" fillId="0" borderId="1" xfId="0" applyBorder="1" applyAlignment="1">
      <alignment horizontal="center" vertical="center" wrapText="1" shrinkToFit="1"/>
    </xf>
    <xf numFmtId="0" fontId="0" fillId="0" borderId="11" xfId="0" applyBorder="1" applyAlignment="1">
      <alignment horizontal="center" vertical="center" wrapText="1" shrinkToFit="1"/>
    </xf>
    <xf numFmtId="0" fontId="12" fillId="0" borderId="1" xfId="0" applyFont="1" applyBorder="1" applyAlignment="1">
      <alignment horizontal="center" vertical="center"/>
    </xf>
    <xf numFmtId="0" fontId="12" fillId="0" borderId="11" xfId="0" applyFont="1" applyBorder="1" applyAlignment="1">
      <alignment horizontal="center" vertical="center"/>
    </xf>
    <xf numFmtId="0" fontId="0" fillId="0" borderId="80" xfId="0" applyBorder="1" applyAlignment="1">
      <alignment horizontal="center" vertical="center" wrapText="1"/>
    </xf>
    <xf numFmtId="0" fontId="0" fillId="0" borderId="82" xfId="0" applyBorder="1" applyAlignment="1">
      <alignment horizontal="center" vertical="center" wrapText="1"/>
    </xf>
    <xf numFmtId="179" fontId="12" fillId="16" borderId="92" xfId="0" applyNumberFormat="1" applyFont="1" applyFill="1" applyBorder="1" applyAlignment="1">
      <alignment horizontal="center" vertical="center" wrapText="1"/>
    </xf>
    <xf numFmtId="179" fontId="12" fillId="16" borderId="95" xfId="0" applyNumberFormat="1" applyFont="1" applyFill="1" applyBorder="1" applyAlignment="1">
      <alignment horizontal="center" vertical="center" wrapText="1"/>
    </xf>
    <xf numFmtId="179" fontId="12" fillId="16" borderId="93" xfId="0" applyNumberFormat="1" applyFont="1" applyFill="1" applyBorder="1" applyAlignment="1">
      <alignment horizontal="center" vertical="center" wrapText="1"/>
    </xf>
    <xf numFmtId="178" fontId="12" fillId="16" borderId="90" xfId="0" applyNumberFormat="1" applyFont="1" applyFill="1" applyBorder="1" applyAlignment="1">
      <alignment vertical="center"/>
    </xf>
    <xf numFmtId="178" fontId="12" fillId="16" borderId="96" xfId="0" applyNumberFormat="1" applyFont="1" applyFill="1" applyBorder="1" applyAlignment="1">
      <alignment vertical="center"/>
    </xf>
    <xf numFmtId="178" fontId="12" fillId="16" borderId="94" xfId="0" applyNumberFormat="1" applyFont="1" applyFill="1" applyBorder="1" applyAlignment="1">
      <alignment vertical="center"/>
    </xf>
    <xf numFmtId="0" fontId="0" fillId="0" borderId="84" xfId="0" applyBorder="1" applyAlignment="1">
      <alignment horizontal="center" vertical="center" wrapText="1"/>
    </xf>
    <xf numFmtId="0" fontId="12" fillId="0" borderId="85" xfId="0" applyFont="1" applyBorder="1" applyAlignment="1">
      <alignment horizontal="center" vertical="center"/>
    </xf>
    <xf numFmtId="0" fontId="12" fillId="0" borderId="83" xfId="0" applyFont="1" applyBorder="1" applyAlignment="1">
      <alignment horizontal="center" vertical="center"/>
    </xf>
    <xf numFmtId="0" fontId="0" fillId="0" borderId="15" xfId="0" applyBorder="1" applyAlignment="1">
      <alignment horizontal="center" vertical="center" wrapText="1"/>
    </xf>
    <xf numFmtId="0" fontId="0" fillId="0" borderId="11" xfId="0" applyBorder="1" applyAlignment="1">
      <alignment horizontal="center" vertical="center"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5" xfId="0" quotePrefix="1" applyFont="1" applyBorder="1" applyAlignment="1">
      <alignment horizontal="center" vertical="center"/>
    </xf>
    <xf numFmtId="0" fontId="12" fillId="0" borderId="11" xfId="0" quotePrefix="1" applyFont="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29" xfId="0"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0" fontId="12" fillId="0" borderId="23" xfId="0" applyFont="1" applyBorder="1" applyAlignment="1">
      <alignment horizontal="center" vertical="center"/>
    </xf>
    <xf numFmtId="0" fontId="12" fillId="0" borderId="71" xfId="0" applyFont="1" applyBorder="1" applyAlignment="1">
      <alignment horizontal="center" vertical="center"/>
    </xf>
    <xf numFmtId="0" fontId="12" fillId="0" borderId="79" xfId="0" applyFont="1" applyBorder="1" applyAlignment="1">
      <alignment horizontal="center" vertical="center"/>
    </xf>
    <xf numFmtId="0" fontId="12" fillId="0" borderId="81" xfId="0" applyFont="1" applyBorder="1" applyAlignment="1">
      <alignment horizontal="center" vertical="center"/>
    </xf>
    <xf numFmtId="0" fontId="12" fillId="0" borderId="77" xfId="0" applyFont="1" applyBorder="1" applyAlignment="1">
      <alignment horizontal="center" vertical="center"/>
    </xf>
    <xf numFmtId="0" fontId="0" fillId="0" borderId="82" xfId="0" applyBorder="1" applyAlignment="1">
      <alignment horizontal="center" vertical="center"/>
    </xf>
    <xf numFmtId="0" fontId="0" fillId="0" borderId="78" xfId="0" applyBorder="1" applyAlignment="1">
      <alignment horizontal="center" vertical="center"/>
    </xf>
    <xf numFmtId="0" fontId="12" fillId="0" borderId="1" xfId="0" quotePrefix="1" applyFont="1" applyBorder="1" applyAlignment="1">
      <alignment horizontal="center" vertical="center"/>
    </xf>
    <xf numFmtId="0" fontId="12" fillId="0" borderId="16" xfId="0" quotePrefix="1" applyFont="1" applyBorder="1" applyAlignment="1">
      <alignment horizontal="center" vertical="center"/>
    </xf>
    <xf numFmtId="0" fontId="12" fillId="0" borderId="21" xfId="0" applyFont="1" applyBorder="1" applyAlignment="1">
      <alignment horizontal="center" vertical="center"/>
    </xf>
    <xf numFmtId="0" fontId="0" fillId="15" borderId="3" xfId="0" applyFill="1" applyBorder="1" applyAlignment="1">
      <alignment horizontal="center" vertical="center"/>
    </xf>
    <xf numFmtId="179" fontId="12" fillId="16" borderId="97" xfId="0" applyNumberFormat="1" applyFont="1" applyFill="1" applyBorder="1" applyAlignment="1">
      <alignment horizontal="center" vertical="center"/>
    </xf>
    <xf numFmtId="177" fontId="12" fillId="16" borderId="98" xfId="1" applyNumberFormat="1" applyFont="1" applyFill="1" applyBorder="1" applyAlignment="1">
      <alignment vertical="center"/>
    </xf>
    <xf numFmtId="0" fontId="12" fillId="0" borderId="72" xfId="0" applyFont="1" applyBorder="1" applyAlignment="1">
      <alignment horizontal="center" vertical="center"/>
    </xf>
    <xf numFmtId="0" fontId="12" fillId="0" borderId="73" xfId="0" applyFont="1" applyBorder="1" applyAlignment="1">
      <alignment horizontal="center" vertical="center"/>
    </xf>
    <xf numFmtId="0" fontId="0" fillId="0" borderId="5" xfId="0" applyBorder="1" applyAlignment="1">
      <alignment horizontal="center" vertical="center" wrapText="1"/>
    </xf>
    <xf numFmtId="0" fontId="0" fillId="0" borderId="86" xfId="0" applyBorder="1" applyAlignment="1">
      <alignment horizontal="center" vertical="center" wrapText="1"/>
    </xf>
    <xf numFmtId="189" fontId="12" fillId="0" borderId="37" xfId="0" applyNumberFormat="1" applyFont="1" applyBorder="1" applyAlignment="1">
      <alignment horizontal="right" vertical="center"/>
    </xf>
    <xf numFmtId="0" fontId="12" fillId="0" borderId="38" xfId="0" applyFont="1" applyBorder="1" applyAlignment="1">
      <alignment horizontal="right" vertical="center"/>
    </xf>
    <xf numFmtId="0" fontId="12" fillId="0" borderId="39" xfId="0" applyFont="1" applyBorder="1" applyAlignment="1">
      <alignment horizontal="right" vertical="center"/>
    </xf>
    <xf numFmtId="0" fontId="13" fillId="0" borderId="0" xfId="2" applyAlignment="1"/>
    <xf numFmtId="189" fontId="0" fillId="0" borderId="45" xfId="0" applyNumberFormat="1" applyBorder="1" applyAlignment="1">
      <alignment horizontal="right" vertical="center"/>
    </xf>
    <xf numFmtId="189" fontId="0" fillId="0" borderId="46" xfId="0" applyNumberFormat="1" applyBorder="1" applyAlignment="1">
      <alignment horizontal="right" vertical="center"/>
    </xf>
    <xf numFmtId="0" fontId="28" fillId="0" borderId="0" xfId="0" applyFont="1" applyAlignment="1">
      <alignment horizontal="center" vertical="center"/>
    </xf>
    <xf numFmtId="0" fontId="28" fillId="0" borderId="0" xfId="0" applyFont="1" applyAlignment="1">
      <alignment vertical="center"/>
    </xf>
    <xf numFmtId="0" fontId="28" fillId="0" borderId="48" xfId="0" applyFont="1" applyBorder="1" applyAlignment="1">
      <alignment vertical="center"/>
    </xf>
    <xf numFmtId="0" fontId="0" fillId="0" borderId="40" xfId="0" applyBorder="1" applyAlignment="1">
      <alignment horizontal="center" vertical="center" textRotation="255" wrapText="1"/>
    </xf>
    <xf numFmtId="0" fontId="0" fillId="0" borderId="41" xfId="0" applyBorder="1" applyAlignment="1">
      <alignment horizontal="center" vertical="center" textRotation="255" wrapText="1"/>
    </xf>
    <xf numFmtId="0" fontId="0" fillId="0" borderId="44" xfId="0"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53" xfId="0" applyBorder="1" applyAlignment="1">
      <alignment horizontal="center" vertical="center" textRotation="255" wrapText="1"/>
    </xf>
    <xf numFmtId="0" fontId="0" fillId="0" borderId="54" xfId="0" applyBorder="1" applyAlignment="1">
      <alignment horizontal="center" vertical="center" textRotation="255" wrapText="1"/>
    </xf>
    <xf numFmtId="189" fontId="0" fillId="0" borderId="0" xfId="0" applyNumberFormat="1" applyAlignment="1">
      <alignment vertical="center"/>
    </xf>
    <xf numFmtId="0" fontId="0" fillId="0" borderId="0" xfId="0" applyAlignment="1">
      <alignment horizontal="center" vertical="center"/>
    </xf>
    <xf numFmtId="0" fontId="0" fillId="0" borderId="0" xfId="0" applyAlignment="1">
      <alignment vertical="center"/>
    </xf>
    <xf numFmtId="189" fontId="0" fillId="0" borderId="0" xfId="0" quotePrefix="1" applyNumberFormat="1" applyAlignment="1">
      <alignment horizontal="center" vertical="center"/>
    </xf>
    <xf numFmtId="189" fontId="0" fillId="0" borderId="4" xfId="0" applyNumberFormat="1" applyBorder="1" applyAlignment="1">
      <alignment vertical="center"/>
    </xf>
    <xf numFmtId="189" fontId="0" fillId="0" borderId="2" xfId="0" applyNumberFormat="1" applyBorder="1" applyAlignment="1">
      <alignment vertical="center"/>
    </xf>
    <xf numFmtId="0" fontId="0" fillId="0" borderId="2" xfId="0" applyBorder="1" applyAlignment="1">
      <alignment horizontal="center" vertical="center"/>
    </xf>
    <xf numFmtId="0" fontId="0" fillId="0" borderId="4" xfId="0" applyBorder="1" applyAlignment="1">
      <alignment vertical="center"/>
    </xf>
    <xf numFmtId="0" fontId="0" fillId="0" borderId="2" xfId="0" applyBorder="1" applyAlignment="1">
      <alignment vertical="center"/>
    </xf>
    <xf numFmtId="0" fontId="0" fillId="0" borderId="3" xfId="0" applyBorder="1" applyAlignment="1">
      <alignment horizontal="center" vertical="center"/>
    </xf>
    <xf numFmtId="189" fontId="0" fillId="0" borderId="45" xfId="0" applyNumberFormat="1" applyBorder="1" applyAlignment="1">
      <alignment vertical="center"/>
    </xf>
    <xf numFmtId="189" fontId="0" fillId="0" borderId="46" xfId="0" applyNumberFormat="1" applyBorder="1" applyAlignment="1">
      <alignment vertical="center"/>
    </xf>
    <xf numFmtId="0" fontId="0" fillId="0" borderId="49" xfId="0" applyBorder="1" applyAlignment="1">
      <alignment horizontal="center" vertical="center" textRotation="255"/>
    </xf>
    <xf numFmtId="0" fontId="0" fillId="0" borderId="50" xfId="0" applyBorder="1" applyAlignment="1">
      <alignment horizontal="center" vertical="center" textRotation="255"/>
    </xf>
    <xf numFmtId="0" fontId="0" fillId="0" borderId="44" xfId="0" applyBorder="1" applyAlignment="1">
      <alignment horizontal="center" vertical="center" textRotation="255"/>
    </xf>
    <xf numFmtId="0" fontId="0" fillId="0" borderId="8" xfId="0" applyBorder="1" applyAlignment="1">
      <alignment horizontal="center" vertical="center" textRotation="255"/>
    </xf>
    <xf numFmtId="0" fontId="0" fillId="0" borderId="53" xfId="0" applyBorder="1" applyAlignment="1">
      <alignment horizontal="center" vertical="center" textRotation="255"/>
    </xf>
    <xf numFmtId="0" fontId="0" fillId="0" borderId="54" xfId="0" applyBorder="1" applyAlignment="1">
      <alignment horizontal="center" vertical="center" textRotation="255"/>
    </xf>
    <xf numFmtId="190" fontId="0" fillId="0" borderId="0" xfId="0" applyNumberFormat="1" applyAlignment="1">
      <alignment horizontal="center" vertical="center"/>
    </xf>
    <xf numFmtId="0" fontId="0" fillId="0" borderId="40" xfId="0" applyBorder="1" applyAlignment="1">
      <alignment horizontal="center" vertical="center" textRotation="255"/>
    </xf>
    <xf numFmtId="0" fontId="0" fillId="0" borderId="41" xfId="0" applyBorder="1" applyAlignment="1">
      <alignment horizontal="center" vertical="center" textRotation="255"/>
    </xf>
    <xf numFmtId="0" fontId="0" fillId="0" borderId="4" xfId="0" applyBorder="1" applyAlignment="1">
      <alignment horizontal="center" vertical="center"/>
    </xf>
    <xf numFmtId="0" fontId="0" fillId="0" borderId="12" xfId="0" applyBorder="1" applyAlignment="1">
      <alignment horizontal="right" vertical="center"/>
    </xf>
    <xf numFmtId="189" fontId="0" fillId="0" borderId="12" xfId="0" applyNumberFormat="1" applyBorder="1" applyAlignment="1">
      <alignment vertical="center"/>
    </xf>
    <xf numFmtId="0" fontId="27" fillId="0" borderId="0" xfId="0" applyFont="1" applyAlignment="1">
      <alignment vertical="center"/>
    </xf>
    <xf numFmtId="0" fontId="0" fillId="0" borderId="12" xfId="0" applyBorder="1" applyAlignment="1">
      <alignment horizontal="center" vertical="center" wrapText="1"/>
    </xf>
    <xf numFmtId="0" fontId="28" fillId="0" borderId="12" xfId="0" applyFont="1" applyBorder="1" applyAlignment="1">
      <alignment horizontal="center" vertical="center" wrapText="1"/>
    </xf>
    <xf numFmtId="0" fontId="0" fillId="0" borderId="105" xfId="0" applyBorder="1" applyAlignment="1">
      <alignment vertical="center"/>
    </xf>
  </cellXfs>
  <cellStyles count="4">
    <cellStyle name="ハイパーリンク" xfId="2" builtinId="8"/>
    <cellStyle name="桁区切り" xfId="1" builtinId="6"/>
    <cellStyle name="標準" xfId="0" builtinId="0"/>
    <cellStyle name="標準 2" xfId="3"/>
  </cellStyles>
  <dxfs count="6">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476249</xdr:colOff>
      <xdr:row>15</xdr:row>
      <xdr:rowOff>42861</xdr:rowOff>
    </xdr:from>
    <xdr:to>
      <xdr:col>6</xdr:col>
      <xdr:colOff>123826</xdr:colOff>
      <xdr:row>17</xdr:row>
      <xdr:rowOff>111795</xdr:rowOff>
    </xdr:to>
    <xdr:sp macro="" textlink="">
      <xdr:nvSpPr>
        <xdr:cNvPr id="5" name="テキスト ボックス 4">
          <a:extLst>
            <a:ext uri="{FF2B5EF4-FFF2-40B4-BE49-F238E27FC236}">
              <a16:creationId xmlns:a16="http://schemas.microsoft.com/office/drawing/2014/main" id="{C98D93BF-1906-48CF-BCB0-1F06A8D4FA79}"/>
            </a:ext>
          </a:extLst>
        </xdr:cNvPr>
        <xdr:cNvSpPr txBox="1"/>
      </xdr:nvSpPr>
      <xdr:spPr>
        <a:xfrm>
          <a:off x="3047999" y="3933824"/>
          <a:ext cx="2081215" cy="530896"/>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r>
            <a:rPr kumimoji="1" lang="ja-JP" altLang="en-US" sz="800">
              <a:latin typeface="ＭＳ Ｐゴシック" panose="020B0600070205080204" pitchFamily="50" charset="-128"/>
              <a:ea typeface="ＭＳ Ｐゴシック" panose="020B0600070205080204" pitchFamily="50" charset="-128"/>
            </a:rPr>
            <a:t>月の端数は切り捨て</a:t>
          </a:r>
          <a:endParaRPr kumimoji="1" lang="en-US" altLang="ja-JP"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ただし、在職期間が６月以上１年未満の場合に限り、１年（フルタイム会計年度任用職員を除く）</a:t>
          </a:r>
          <a:endParaRPr kumimoji="1" lang="en-US" altLang="ja-JP"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（傷病、死亡退職の場合は６月未満でも１年）</a:t>
          </a:r>
        </a:p>
      </xdr:txBody>
    </xdr:sp>
    <xdr:clientData/>
  </xdr:twoCellAnchor>
  <xdr:twoCellAnchor>
    <xdr:from>
      <xdr:col>3</xdr:col>
      <xdr:colOff>557208</xdr:colOff>
      <xdr:row>18</xdr:row>
      <xdr:rowOff>47625</xdr:rowOff>
    </xdr:from>
    <xdr:to>
      <xdr:col>4</xdr:col>
      <xdr:colOff>14283</xdr:colOff>
      <xdr:row>19</xdr:row>
      <xdr:rowOff>223837</xdr:rowOff>
    </xdr:to>
    <xdr:sp macro="" textlink="">
      <xdr:nvSpPr>
        <xdr:cNvPr id="4" name="左中かっこ 3">
          <a:extLst>
            <a:ext uri="{FF2B5EF4-FFF2-40B4-BE49-F238E27FC236}">
              <a16:creationId xmlns:a16="http://schemas.microsoft.com/office/drawing/2014/main" id="{80E9052A-ABDA-41E0-A181-41B5782363CA}"/>
            </a:ext>
          </a:extLst>
        </xdr:cNvPr>
        <xdr:cNvSpPr/>
      </xdr:nvSpPr>
      <xdr:spPr>
        <a:xfrm>
          <a:off x="3128958" y="4810125"/>
          <a:ext cx="209550" cy="409575"/>
        </a:xfrm>
        <a:prstGeom prst="leftBrace">
          <a:avLst>
            <a:gd name="adj1" fmla="val 8333"/>
            <a:gd name="adj2" fmla="val 74419"/>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557208</xdr:colOff>
      <xdr:row>49</xdr:row>
      <xdr:rowOff>47625</xdr:rowOff>
    </xdr:from>
    <xdr:to>
      <xdr:col>4</xdr:col>
      <xdr:colOff>14283</xdr:colOff>
      <xdr:row>50</xdr:row>
      <xdr:rowOff>223837</xdr:rowOff>
    </xdr:to>
    <xdr:sp macro="" textlink="">
      <xdr:nvSpPr>
        <xdr:cNvPr id="6" name="左中かっこ 5">
          <a:extLst>
            <a:ext uri="{FF2B5EF4-FFF2-40B4-BE49-F238E27FC236}">
              <a16:creationId xmlns:a16="http://schemas.microsoft.com/office/drawing/2014/main" id="{9056D7EA-1184-477A-827A-8246412C1B55}"/>
            </a:ext>
          </a:extLst>
        </xdr:cNvPr>
        <xdr:cNvSpPr/>
      </xdr:nvSpPr>
      <xdr:spPr>
        <a:xfrm>
          <a:off x="3128958" y="4810125"/>
          <a:ext cx="209550" cy="409575"/>
        </a:xfrm>
        <a:prstGeom prst="leftBrace">
          <a:avLst>
            <a:gd name="adj1" fmla="val 8333"/>
            <a:gd name="adj2" fmla="val 74419"/>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xdr:colOff>
      <xdr:row>48</xdr:row>
      <xdr:rowOff>319096</xdr:rowOff>
    </xdr:from>
    <xdr:to>
      <xdr:col>3</xdr:col>
      <xdr:colOff>642937</xdr:colOff>
      <xdr:row>50</xdr:row>
      <xdr:rowOff>30833</xdr:rowOff>
    </xdr:to>
    <xdr:sp macro="" textlink="">
      <xdr:nvSpPr>
        <xdr:cNvPr id="7" name="テキスト ボックス 6">
          <a:extLst>
            <a:ext uri="{FF2B5EF4-FFF2-40B4-BE49-F238E27FC236}">
              <a16:creationId xmlns:a16="http://schemas.microsoft.com/office/drawing/2014/main" id="{ACDBF1C6-0964-42CF-B117-E22E58E9BF83}"/>
            </a:ext>
          </a:extLst>
        </xdr:cNvPr>
        <xdr:cNvSpPr txBox="1"/>
      </xdr:nvSpPr>
      <xdr:spPr>
        <a:xfrm>
          <a:off x="2576512" y="4738696"/>
          <a:ext cx="638175" cy="28800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r>
            <a:rPr kumimoji="1" lang="ja-JP" altLang="en-US" sz="800">
              <a:latin typeface="ＭＳ Ｐゴシック" panose="020B0600070205080204" pitchFamily="50" charset="-128"/>
              <a:ea typeface="ＭＳ Ｐゴシック" panose="020B0600070205080204" pitchFamily="50" charset="-128"/>
            </a:rPr>
            <a:t>（月の端数は切り捨て）</a:t>
          </a:r>
        </a:p>
      </xdr:txBody>
    </xdr:sp>
    <xdr:clientData/>
  </xdr:twoCellAnchor>
  <xdr:twoCellAnchor>
    <xdr:from>
      <xdr:col>5</xdr:col>
      <xdr:colOff>419100</xdr:colOff>
      <xdr:row>99</xdr:row>
      <xdr:rowOff>38100</xdr:rowOff>
    </xdr:from>
    <xdr:to>
      <xdr:col>5</xdr:col>
      <xdr:colOff>628650</xdr:colOff>
      <xdr:row>101</xdr:row>
      <xdr:rowOff>180975</xdr:rowOff>
    </xdr:to>
    <xdr:sp macro="" textlink="">
      <xdr:nvSpPr>
        <xdr:cNvPr id="2" name="右中かっこ 1">
          <a:extLst>
            <a:ext uri="{FF2B5EF4-FFF2-40B4-BE49-F238E27FC236}">
              <a16:creationId xmlns:a16="http://schemas.microsoft.com/office/drawing/2014/main" id="{FB7838F5-FCA0-40E5-A68B-02E94B6DC2A5}"/>
            </a:ext>
          </a:extLst>
        </xdr:cNvPr>
        <xdr:cNvSpPr/>
      </xdr:nvSpPr>
      <xdr:spPr>
        <a:xfrm>
          <a:off x="4714875" y="24669750"/>
          <a:ext cx="209550" cy="6000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638176</xdr:colOff>
      <xdr:row>78</xdr:row>
      <xdr:rowOff>152401</xdr:rowOff>
    </xdr:from>
    <xdr:to>
      <xdr:col>14</xdr:col>
      <xdr:colOff>400050</xdr:colOff>
      <xdr:row>89</xdr:row>
      <xdr:rowOff>152400</xdr:rowOff>
    </xdr:to>
    <xdr:grpSp>
      <xdr:nvGrpSpPr>
        <xdr:cNvPr id="17" name="グループ化 16">
          <a:extLst>
            <a:ext uri="{FF2B5EF4-FFF2-40B4-BE49-F238E27FC236}">
              <a16:creationId xmlns:a16="http://schemas.microsoft.com/office/drawing/2014/main" id="{D992C31A-C546-4435-BF7E-6F73398793C8}"/>
            </a:ext>
          </a:extLst>
        </xdr:cNvPr>
        <xdr:cNvGrpSpPr/>
      </xdr:nvGrpSpPr>
      <xdr:grpSpPr>
        <a:xfrm>
          <a:off x="6627496" y="19636741"/>
          <a:ext cx="5034914" cy="2644139"/>
          <a:chOff x="6419851" y="19564351"/>
          <a:chExt cx="5057774" cy="2600324"/>
        </a:xfrm>
      </xdr:grpSpPr>
      <xdr:sp macro="" textlink="">
        <xdr:nvSpPr>
          <xdr:cNvPr id="8" name="テキスト ボックス 7">
            <a:extLst>
              <a:ext uri="{FF2B5EF4-FFF2-40B4-BE49-F238E27FC236}">
                <a16:creationId xmlns:a16="http://schemas.microsoft.com/office/drawing/2014/main" id="{8CAB9BA3-A85F-4834-A0C5-8B1523E94CB5}"/>
              </a:ext>
            </a:extLst>
          </xdr:cNvPr>
          <xdr:cNvSpPr txBox="1"/>
        </xdr:nvSpPr>
        <xdr:spPr>
          <a:xfrm>
            <a:off x="6419851" y="19564351"/>
            <a:ext cx="5057774" cy="2600324"/>
          </a:xfrm>
          <a:prstGeom prst="roundRect">
            <a:avLst>
              <a:gd name="adj" fmla="val 7615"/>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注　勤続年数及び退職事由によって調整額が一部制限されます。</a:t>
            </a:r>
            <a:endParaRPr kumimoji="1" lang="en-US" altLang="ja-JP" sz="900"/>
          </a:p>
          <a:p>
            <a:r>
              <a:rPr kumimoji="1" lang="ja-JP" altLang="en-US" sz="900"/>
              <a:t>・勤続期間が９年以下の自己都合退職の場合には、退職手当の調整額は加算されません。</a:t>
            </a:r>
            <a:endParaRPr kumimoji="1" lang="en-US" altLang="ja-JP" sz="900"/>
          </a:p>
          <a:p>
            <a:r>
              <a:rPr kumimoji="1" lang="ja-JP" altLang="en-US" sz="900"/>
              <a:t>・また、勤続期間が１０年以上２４年以下の自己都合退職または４年以下のその他の退職の場合には、退職手当の調整額の半額が加算されます。</a:t>
            </a:r>
            <a:endParaRPr kumimoji="1" lang="en-US" altLang="ja-JP" sz="900"/>
          </a:p>
          <a:p>
            <a:endParaRPr kumimoji="1" lang="en-US" altLang="ja-JP" sz="900"/>
          </a:p>
          <a:p>
            <a:endParaRPr kumimoji="1" lang="en-US" altLang="ja-JP" sz="900"/>
          </a:p>
          <a:p>
            <a:endParaRPr kumimoji="1" lang="en-US" altLang="ja-JP" sz="900"/>
          </a:p>
          <a:p>
            <a:endParaRPr kumimoji="1" lang="en-US" altLang="ja-JP" sz="900"/>
          </a:p>
          <a:p>
            <a:endParaRPr kumimoji="1" lang="en-US" altLang="ja-JP" sz="900"/>
          </a:p>
          <a:p>
            <a:endParaRPr kumimoji="1" lang="en-US" altLang="ja-JP" sz="900"/>
          </a:p>
          <a:p>
            <a:endParaRPr kumimoji="1" lang="en-US" altLang="ja-JP" sz="900"/>
          </a:p>
          <a:p>
            <a:endParaRPr kumimoji="1" lang="en-US" altLang="ja-JP" sz="900"/>
          </a:p>
          <a:p>
            <a:endParaRPr kumimoji="1" lang="en-US" altLang="ja-JP" sz="900"/>
          </a:p>
          <a:p>
            <a:r>
              <a:rPr kumimoji="1" lang="ja-JP" altLang="en-US" sz="900" u="sng">
                <a:solidFill>
                  <a:srgbClr val="FF0000"/>
                </a:solidFill>
                <a:latin typeface="HG丸ｺﾞｼｯｸM-PRO" panose="020F0600000000000000" pitchFamily="50" charset="-128"/>
                <a:ea typeface="HG丸ｺﾞｼｯｸM-PRO" panose="020F0600000000000000" pitchFamily="50" charset="-128"/>
              </a:rPr>
              <a:t>この試算シートでは、以上の例外計算には対応していませんので、該当する場合は左の方法を参考にしてご自身で算定してください。</a:t>
            </a:r>
          </a:p>
        </xdr:txBody>
      </xdr:sp>
      <xdr:pic>
        <xdr:nvPicPr>
          <xdr:cNvPr id="16" name="図 15">
            <a:extLst>
              <a:ext uri="{FF2B5EF4-FFF2-40B4-BE49-F238E27FC236}">
                <a16:creationId xmlns:a16="http://schemas.microsoft.com/office/drawing/2014/main" id="{ACEF3D0A-BBE1-4CB4-8797-F778C8949D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3225" y="20516851"/>
            <a:ext cx="4069460" cy="981074"/>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9</xdr:col>
      <xdr:colOff>47625</xdr:colOff>
      <xdr:row>21</xdr:row>
      <xdr:rowOff>95250</xdr:rowOff>
    </xdr:from>
    <xdr:to>
      <xdr:col>15</xdr:col>
      <xdr:colOff>104775</xdr:colOff>
      <xdr:row>31</xdr:row>
      <xdr:rowOff>172969</xdr:rowOff>
    </xdr:to>
    <xdr:pic>
      <xdr:nvPicPr>
        <xdr:cNvPr id="15" name="図 14">
          <a:extLst>
            <a:ext uri="{FF2B5EF4-FFF2-40B4-BE49-F238E27FC236}">
              <a16:creationId xmlns:a16="http://schemas.microsoft.com/office/drawing/2014/main" id="{8D057ABC-12CC-4B58-9FFC-ACFE3BDEBD8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24750" y="5543550"/>
          <a:ext cx="4572000" cy="2411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104775</xdr:colOff>
      <xdr:row>52</xdr:row>
      <xdr:rowOff>9525</xdr:rowOff>
    </xdr:from>
    <xdr:to>
      <xdr:col>15</xdr:col>
      <xdr:colOff>161925</xdr:colOff>
      <xdr:row>63</xdr:row>
      <xdr:rowOff>11044</xdr:rowOff>
    </xdr:to>
    <xdr:pic>
      <xdr:nvPicPr>
        <xdr:cNvPr id="18" name="図 17">
          <a:extLst>
            <a:ext uri="{FF2B5EF4-FFF2-40B4-BE49-F238E27FC236}">
              <a16:creationId xmlns:a16="http://schemas.microsoft.com/office/drawing/2014/main" id="{5968458C-2C91-4348-BDEF-3B3B8C1FDF9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81900" y="13087350"/>
          <a:ext cx="4572000" cy="2411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142891</xdr:colOff>
      <xdr:row>94</xdr:row>
      <xdr:rowOff>228599</xdr:rowOff>
    </xdr:from>
    <xdr:to>
      <xdr:col>8</xdr:col>
      <xdr:colOff>338138</xdr:colOff>
      <xdr:row>97</xdr:row>
      <xdr:rowOff>47624</xdr:rowOff>
    </xdr:to>
    <xdr:sp macro="" textlink="">
      <xdr:nvSpPr>
        <xdr:cNvPr id="12" name="テキスト ボックス 11">
          <a:extLst>
            <a:ext uri="{FF2B5EF4-FFF2-40B4-BE49-F238E27FC236}">
              <a16:creationId xmlns:a16="http://schemas.microsoft.com/office/drawing/2014/main" id="{8F1FA835-DE3C-45C9-A991-629726D4E0F1}"/>
            </a:ext>
          </a:extLst>
        </xdr:cNvPr>
        <xdr:cNvSpPr txBox="1"/>
      </xdr:nvSpPr>
      <xdr:spPr>
        <a:xfrm>
          <a:off x="5148279" y="23107649"/>
          <a:ext cx="1876409" cy="6953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r>
            <a:rPr kumimoji="1" lang="ja-JP" altLang="en-US" sz="800" b="1">
              <a:solidFill>
                <a:srgbClr val="FF0000"/>
              </a:solidFill>
              <a:latin typeface="ＭＳ Ｐゴシック" panose="020B0600070205080204" pitchFamily="50" charset="-128"/>
              <a:ea typeface="ＭＳ Ｐゴシック" panose="020B0600070205080204" pitchFamily="50" charset="-128"/>
            </a:rPr>
            <a:t>（注）</a:t>
          </a:r>
          <a:r>
            <a:rPr kumimoji="1" lang="ja-JP" altLang="en-US" sz="800" u="sng">
              <a:latin typeface="ＭＳ Ｐゴシック" panose="020B0600070205080204" pitchFamily="50" charset="-128"/>
              <a:ea typeface="ＭＳ Ｐゴシック" panose="020B0600070205080204" pitchFamily="50" charset="-128"/>
            </a:rPr>
            <a:t>フルタイム会計年度任用職員</a:t>
          </a:r>
          <a:r>
            <a:rPr kumimoji="1" lang="ja-JP" altLang="en-US" sz="800">
              <a:latin typeface="ＭＳ Ｐゴシック" panose="020B0600070205080204" pitchFamily="50" charset="-128"/>
              <a:ea typeface="ＭＳ Ｐゴシック" panose="020B0600070205080204" pitchFamily="50" charset="-128"/>
            </a:rPr>
            <a:t>のうち、勤務日数が職員みなし日数以上ある月が</a:t>
          </a:r>
          <a:r>
            <a:rPr kumimoji="1" lang="ja-JP" altLang="en-US" sz="800">
              <a:solidFill>
                <a:srgbClr val="FF0000"/>
              </a:solidFill>
              <a:latin typeface="ＭＳ Ｐゴシック" panose="020B0600070205080204" pitchFamily="50" charset="-128"/>
              <a:ea typeface="ＭＳ Ｐゴシック" panose="020B0600070205080204" pitchFamily="50" charset="-128"/>
            </a:rPr>
            <a:t>引き続いて６月を超えるに至り、かつ、１２月を超えるに至っていない場合</a:t>
          </a:r>
          <a:r>
            <a:rPr kumimoji="1" lang="ja-JP" altLang="en-US" sz="800">
              <a:latin typeface="ＭＳ Ｐゴシック" panose="020B0600070205080204" pitchFamily="50" charset="-128"/>
              <a:ea typeface="ＭＳ Ｐゴシック" panose="020B0600070205080204" pitchFamily="50" charset="-128"/>
            </a:rPr>
            <a:t>は、</a:t>
          </a:r>
          <a:r>
            <a:rPr kumimoji="1" lang="ja-JP" altLang="en-US" sz="800">
              <a:solidFill>
                <a:srgbClr val="FF0000"/>
              </a:solidFill>
              <a:latin typeface="ＭＳ Ｐゴシック" panose="020B0600070205080204" pitchFamily="50" charset="-128"/>
              <a:ea typeface="ＭＳ Ｐゴシック" panose="020B0600070205080204" pitchFamily="50" charset="-128"/>
            </a:rPr>
            <a:t>左額の１００分の５０</a:t>
          </a:r>
          <a:r>
            <a:rPr kumimoji="1" lang="ja-JP" altLang="en-US" sz="800">
              <a:latin typeface="ＭＳ Ｐゴシック" panose="020B0600070205080204" pitchFamily="50" charset="-128"/>
              <a:ea typeface="ＭＳ Ｐゴシック" panose="020B0600070205080204" pitchFamily="50" charset="-128"/>
            </a:rPr>
            <a:t>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175260</xdr:colOff>
      <xdr:row>24</xdr:row>
      <xdr:rowOff>53340</xdr:rowOff>
    </xdr:from>
    <xdr:to>
      <xdr:col>23</xdr:col>
      <xdr:colOff>891540</xdr:colOff>
      <xdr:row>31</xdr:row>
      <xdr:rowOff>22860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5760720" y="6667500"/>
          <a:ext cx="2926080" cy="1569720"/>
        </a:xfrm>
        <a:prstGeom prst="wedgeRoundRectCallout">
          <a:avLst>
            <a:gd name="adj1" fmla="val 34092"/>
            <a:gd name="adj2" fmla="val -69213"/>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latin typeface="Meiryo UI" panose="020B0604030504040204" pitchFamily="50" charset="-128"/>
              <a:ea typeface="Meiryo UI" panose="020B0604030504040204" pitchFamily="50" charset="-128"/>
            </a:rPr>
            <a:t>「調整月数」欄は、</a:t>
          </a:r>
          <a:r>
            <a:rPr kumimoji="1" lang="en-US" altLang="ja-JP" sz="1100">
              <a:latin typeface="Meiryo UI" panose="020B0604030504040204" pitchFamily="50" charset="-128"/>
              <a:ea typeface="Meiryo UI" panose="020B0604030504040204" pitchFamily="50" charset="-128"/>
            </a:rPr>
            <a:t>No1</a:t>
          </a:r>
          <a:r>
            <a:rPr kumimoji="1" lang="ja-JP" altLang="en-US" sz="1100">
              <a:latin typeface="Meiryo UI" panose="020B0604030504040204" pitchFamily="50" charset="-128"/>
              <a:ea typeface="Meiryo UI" panose="020B0604030504040204" pitchFamily="50" charset="-128"/>
            </a:rPr>
            <a:t>～</a:t>
          </a:r>
          <a:r>
            <a:rPr kumimoji="1" lang="en-US" altLang="ja-JP" sz="1100">
              <a:latin typeface="Meiryo UI" panose="020B0604030504040204" pitchFamily="50" charset="-128"/>
              <a:ea typeface="Meiryo UI" panose="020B0604030504040204" pitchFamily="50" charset="-128"/>
            </a:rPr>
            <a:t>No60</a:t>
          </a:r>
          <a:r>
            <a:rPr kumimoji="1" lang="ja-JP" altLang="en-US" sz="1100">
              <a:latin typeface="Meiryo UI" panose="020B0604030504040204" pitchFamily="50" charset="-128"/>
              <a:ea typeface="Meiryo UI" panose="020B0604030504040204" pitchFamily="50" charset="-128"/>
            </a:rPr>
            <a:t>の合計月数が</a:t>
          </a:r>
          <a:r>
            <a:rPr kumimoji="1" lang="en-US" altLang="ja-JP" sz="1100">
              <a:latin typeface="Meiryo UI" panose="020B0604030504040204" pitchFamily="50" charset="-128"/>
              <a:ea typeface="Meiryo UI" panose="020B0604030504040204" pitchFamily="50" charset="-128"/>
            </a:rPr>
            <a:t>60</a:t>
          </a:r>
          <a:r>
            <a:rPr kumimoji="1" lang="ja-JP" altLang="en-US" sz="1100">
              <a:latin typeface="Meiryo UI" panose="020B0604030504040204" pitchFamily="50" charset="-128"/>
              <a:ea typeface="Meiryo UI" panose="020B0604030504040204" pitchFamily="50" charset="-128"/>
            </a:rPr>
            <a:t>月未満、かつ、左表の</a:t>
          </a:r>
          <a:r>
            <a:rPr kumimoji="1" lang="en-US" altLang="ja-JP" sz="1100">
              <a:latin typeface="Meiryo UI" panose="020B0604030504040204" pitchFamily="50" charset="-128"/>
              <a:ea typeface="Meiryo UI" panose="020B0604030504040204" pitchFamily="50" charset="-128"/>
            </a:rPr>
            <a:t>No61</a:t>
          </a:r>
          <a:r>
            <a:rPr kumimoji="1" lang="ja-JP" altLang="en-US" sz="1100">
              <a:latin typeface="Meiryo UI" panose="020B0604030504040204" pitchFamily="50" charset="-128"/>
              <a:ea typeface="Meiryo UI" panose="020B0604030504040204" pitchFamily="50" charset="-128"/>
            </a:rPr>
            <a:t>以降の「調整額」欄に「第１号」～「第８号」が表示される場合に、合計欄が合わせて</a:t>
          </a:r>
          <a:r>
            <a:rPr kumimoji="1" lang="en-US" altLang="ja-JP" sz="1100">
              <a:latin typeface="Meiryo UI" panose="020B0604030504040204" pitchFamily="50" charset="-128"/>
              <a:ea typeface="Meiryo UI" panose="020B0604030504040204" pitchFamily="50" charset="-128"/>
            </a:rPr>
            <a:t>60</a:t>
          </a:r>
          <a:r>
            <a:rPr kumimoji="1" lang="ja-JP" altLang="en-US" sz="1100">
              <a:latin typeface="Meiryo UI" panose="020B0604030504040204" pitchFamily="50" charset="-128"/>
              <a:ea typeface="Meiryo UI" panose="020B0604030504040204" pitchFamily="50" charset="-128"/>
            </a:rPr>
            <a:t>月になるまで、表示に応じて加えます。</a:t>
          </a:r>
        </a:p>
      </xdr:txBody>
    </xdr:sp>
    <xdr:clientData/>
  </xdr:twoCellAnchor>
  <xdr:twoCellAnchor>
    <xdr:from>
      <xdr:col>23</xdr:col>
      <xdr:colOff>419100</xdr:colOff>
      <xdr:row>6</xdr:row>
      <xdr:rowOff>7620</xdr:rowOff>
    </xdr:from>
    <xdr:to>
      <xdr:col>30</xdr:col>
      <xdr:colOff>266700</xdr:colOff>
      <xdr:row>11</xdr:row>
      <xdr:rowOff>114300</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8214360" y="1988820"/>
          <a:ext cx="2514600" cy="1409700"/>
        </a:xfrm>
        <a:prstGeom prst="wedgeRoundRectCallout">
          <a:avLst>
            <a:gd name="adj1" fmla="val -12262"/>
            <a:gd name="adj2" fmla="val 77728"/>
            <a:gd name="adj3" fmla="val 16667"/>
          </a:avLst>
        </a:prstGeom>
        <a:ln/>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l"/>
          <a:r>
            <a:rPr kumimoji="1" lang="ja-JP" altLang="en-US" sz="1400" b="1">
              <a:solidFill>
                <a:schemeClr val="tx1"/>
              </a:solidFill>
              <a:latin typeface="Meiryo UI" panose="020B0604030504040204" pitchFamily="50" charset="-128"/>
              <a:ea typeface="Meiryo UI" panose="020B0604030504040204" pitchFamily="50" charset="-128"/>
            </a:rPr>
            <a:t>調整額区分ごとの合計月数を、退職手当の簡易試算シートに入力してください。</a:t>
          </a:r>
        </a:p>
      </xdr:txBody>
    </xdr:sp>
    <xdr:clientData/>
  </xdr:twoCellAnchor>
  <xdr:twoCellAnchor>
    <xdr:from>
      <xdr:col>1</xdr:col>
      <xdr:colOff>236220</xdr:colOff>
      <xdr:row>1</xdr:row>
      <xdr:rowOff>137160</xdr:rowOff>
    </xdr:from>
    <xdr:to>
      <xdr:col>2</xdr:col>
      <xdr:colOff>396240</xdr:colOff>
      <xdr:row>1</xdr:row>
      <xdr:rowOff>411480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40080" y="541020"/>
          <a:ext cx="792480" cy="274320"/>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480060</xdr:colOff>
      <xdr:row>0</xdr:row>
      <xdr:rowOff>129540</xdr:rowOff>
    </xdr:from>
    <xdr:to>
      <xdr:col>28</xdr:col>
      <xdr:colOff>236220</xdr:colOff>
      <xdr:row>2</xdr:row>
      <xdr:rowOff>464820</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5166360" y="129540"/>
          <a:ext cx="3787140" cy="1249680"/>
        </a:xfrm>
        <a:prstGeom prst="wedgeRoundRectCallout">
          <a:avLst>
            <a:gd name="adj1" fmla="val -89444"/>
            <a:gd name="adj2" fmla="val 46442"/>
            <a:gd name="adj3" fmla="val 16667"/>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200" b="1">
              <a:solidFill>
                <a:schemeClr val="tx1"/>
              </a:solidFill>
              <a:latin typeface="Meiryo UI" panose="020B0604030504040204" pitchFamily="50" charset="-128"/>
              <a:ea typeface="Meiryo UI" panose="020B0604030504040204" pitchFamily="50" charset="-128"/>
            </a:rPr>
            <a:t>確認できる書類</a:t>
          </a:r>
          <a:endParaRPr kumimoji="1" lang="en-US" altLang="ja-JP" sz="1200" b="1">
            <a:solidFill>
              <a:schemeClr val="tx1"/>
            </a:solidFill>
            <a:latin typeface="Meiryo UI" panose="020B0604030504040204" pitchFamily="50" charset="-128"/>
            <a:ea typeface="Meiryo UI" panose="020B0604030504040204" pitchFamily="50" charset="-128"/>
          </a:endParaRPr>
        </a:p>
        <a:p>
          <a:pPr algn="l"/>
          <a:r>
            <a:rPr kumimoji="1" lang="ja-JP" altLang="en-US" sz="1200" b="1">
              <a:solidFill>
                <a:schemeClr val="tx1"/>
              </a:solidFill>
              <a:latin typeface="Meiryo UI" panose="020B0604030504040204" pitchFamily="50" charset="-128"/>
              <a:ea typeface="Meiryo UI" panose="020B0604030504040204" pitchFamily="50" charset="-128"/>
            </a:rPr>
            <a:t>給料の級　</a:t>
          </a:r>
          <a:r>
            <a:rPr kumimoji="1" lang="en-US" altLang="ja-JP" sz="1200" b="1">
              <a:solidFill>
                <a:schemeClr val="tx1"/>
              </a:solidFill>
              <a:latin typeface="Meiryo UI" panose="020B0604030504040204" pitchFamily="50" charset="-128"/>
              <a:ea typeface="Meiryo UI" panose="020B0604030504040204" pitchFamily="50" charset="-128"/>
            </a:rPr>
            <a:t>…</a:t>
          </a:r>
          <a:r>
            <a:rPr kumimoji="1" lang="ja-JP" altLang="en-US" sz="1200" b="1">
              <a:solidFill>
                <a:schemeClr val="tx1"/>
              </a:solidFill>
              <a:latin typeface="Meiryo UI" panose="020B0604030504040204" pitchFamily="50" charset="-128"/>
              <a:ea typeface="Meiryo UI" panose="020B0604030504040204" pitchFamily="50" charset="-128"/>
            </a:rPr>
            <a:t>給与明細書</a:t>
          </a:r>
          <a:endParaRPr kumimoji="1" lang="en-US" altLang="ja-JP" sz="1200" b="1">
            <a:solidFill>
              <a:schemeClr val="tx1"/>
            </a:solidFill>
            <a:latin typeface="Meiryo UI" panose="020B0604030504040204" pitchFamily="50" charset="-128"/>
            <a:ea typeface="Meiryo UI" panose="020B0604030504040204" pitchFamily="50" charset="-128"/>
          </a:endParaRPr>
        </a:p>
        <a:p>
          <a:pPr algn="l"/>
          <a:r>
            <a:rPr kumimoji="1" lang="ja-JP" altLang="en-US" sz="1200" b="1">
              <a:solidFill>
                <a:schemeClr val="tx1"/>
              </a:solidFill>
              <a:latin typeface="Meiryo UI" panose="020B0604030504040204" pitchFamily="50" charset="-128"/>
              <a:ea typeface="Meiryo UI" panose="020B0604030504040204" pitchFamily="50" charset="-128"/>
            </a:rPr>
            <a:t>加算割合　</a:t>
          </a:r>
          <a:r>
            <a:rPr kumimoji="1" lang="en-US" altLang="ja-JP" sz="1200" b="1">
              <a:solidFill>
                <a:schemeClr val="tx1"/>
              </a:solidFill>
              <a:latin typeface="Meiryo UI" panose="020B0604030504040204" pitchFamily="50" charset="-128"/>
              <a:ea typeface="Meiryo UI" panose="020B0604030504040204" pitchFamily="50" charset="-128"/>
            </a:rPr>
            <a:t>…</a:t>
          </a:r>
          <a:r>
            <a:rPr kumimoji="1" lang="ja-JP" altLang="en-US" sz="1200" b="1">
              <a:solidFill>
                <a:schemeClr val="tx1"/>
              </a:solidFill>
              <a:latin typeface="Meiryo UI" panose="020B0604030504040204" pitchFamily="50" charset="-128"/>
              <a:ea typeface="Meiryo UI" panose="020B0604030504040204" pitchFamily="50" charset="-128"/>
            </a:rPr>
            <a:t>期末勤勉手当の明細書（該当者のみ）</a:t>
          </a:r>
          <a:endParaRPr kumimoji="1" lang="en-US" altLang="ja-JP" sz="1200" b="1">
            <a:solidFill>
              <a:schemeClr val="tx1"/>
            </a:solidFill>
            <a:latin typeface="Meiryo UI" panose="020B0604030504040204" pitchFamily="50" charset="-128"/>
            <a:ea typeface="Meiryo UI" panose="020B0604030504040204" pitchFamily="50" charset="-128"/>
          </a:endParaRPr>
        </a:p>
        <a:p>
          <a:pPr algn="l"/>
          <a:r>
            <a:rPr kumimoji="1" lang="ja-JP" altLang="en-US" sz="1200" b="1">
              <a:solidFill>
                <a:schemeClr val="tx1"/>
              </a:solidFill>
              <a:latin typeface="Meiryo UI" panose="020B0604030504040204" pitchFamily="50" charset="-128"/>
              <a:ea typeface="Meiryo UI" panose="020B0604030504040204" pitchFamily="50" charset="-128"/>
            </a:rPr>
            <a:t>特別調整額　</a:t>
          </a:r>
          <a:r>
            <a:rPr kumimoji="1" lang="en-US" altLang="ja-JP" sz="1200" b="1">
              <a:solidFill>
                <a:schemeClr val="tx1"/>
              </a:solidFill>
              <a:latin typeface="Meiryo UI" panose="020B0604030504040204" pitchFamily="50" charset="-128"/>
              <a:ea typeface="Meiryo UI" panose="020B0604030504040204" pitchFamily="50" charset="-128"/>
            </a:rPr>
            <a:t>…</a:t>
          </a:r>
          <a:r>
            <a:rPr kumimoji="1" lang="ja-JP" altLang="en-US" sz="1200" b="1">
              <a:solidFill>
                <a:schemeClr val="tx1"/>
              </a:solidFill>
              <a:latin typeface="Meiryo UI" panose="020B0604030504040204" pitchFamily="50" charset="-128"/>
              <a:ea typeface="Meiryo UI" panose="020B0604030504040204" pitchFamily="50" charset="-128"/>
            </a:rPr>
            <a:t>給与明細書（該当者のみ）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76200</xdr:colOff>
      <xdr:row>15</xdr:row>
      <xdr:rowOff>185737</xdr:rowOff>
    </xdr:from>
    <xdr:to>
      <xdr:col>5</xdr:col>
      <xdr:colOff>714375</xdr:colOff>
      <xdr:row>15</xdr:row>
      <xdr:rowOff>433387</xdr:rowOff>
    </xdr:to>
    <xdr:sp macro="" textlink="">
      <xdr:nvSpPr>
        <xdr:cNvPr id="2" name="テキスト ボックス 1">
          <a:extLst>
            <a:ext uri="{FF2B5EF4-FFF2-40B4-BE49-F238E27FC236}">
              <a16:creationId xmlns:a16="http://schemas.microsoft.com/office/drawing/2014/main" id="{53F309B6-6A53-4D7E-9373-161BF57FB1F8}"/>
            </a:ext>
          </a:extLst>
        </xdr:cNvPr>
        <xdr:cNvSpPr txBox="1"/>
      </xdr:nvSpPr>
      <xdr:spPr>
        <a:xfrm>
          <a:off x="5057775" y="2143125"/>
          <a:ext cx="638175" cy="247650"/>
        </a:xfrm>
        <a:prstGeom prst="wedgeRoundRectCallout">
          <a:avLst>
            <a:gd name="adj1" fmla="val -59078"/>
            <a:gd name="adj2" fmla="val 205249"/>
            <a:gd name="adj3" fmla="val 16667"/>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７割水準</a:t>
          </a:r>
        </a:p>
      </xdr:txBody>
    </xdr:sp>
    <xdr:clientData/>
  </xdr:twoCellAnchor>
  <xdr:twoCellAnchor>
    <xdr:from>
      <xdr:col>4</xdr:col>
      <xdr:colOff>28575</xdr:colOff>
      <xdr:row>21</xdr:row>
      <xdr:rowOff>14289</xdr:rowOff>
    </xdr:from>
    <xdr:to>
      <xdr:col>4</xdr:col>
      <xdr:colOff>208575</xdr:colOff>
      <xdr:row>21</xdr:row>
      <xdr:rowOff>194289</xdr:rowOff>
    </xdr:to>
    <xdr:sp macro="" textlink="">
      <xdr:nvSpPr>
        <xdr:cNvPr id="4" name="テキスト ボックス 3">
          <a:extLst>
            <a:ext uri="{FF2B5EF4-FFF2-40B4-BE49-F238E27FC236}">
              <a16:creationId xmlns:a16="http://schemas.microsoft.com/office/drawing/2014/main" id="{AA012C61-637C-401D-9C4C-81EC45BD3E59}"/>
            </a:ext>
          </a:extLst>
        </xdr:cNvPr>
        <xdr:cNvSpPr txBox="1"/>
      </xdr:nvSpPr>
      <xdr:spPr>
        <a:xfrm>
          <a:off x="4129088" y="518636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4</xdr:col>
      <xdr:colOff>4763</xdr:colOff>
      <xdr:row>16</xdr:row>
      <xdr:rowOff>19050</xdr:rowOff>
    </xdr:from>
    <xdr:to>
      <xdr:col>4</xdr:col>
      <xdr:colOff>184763</xdr:colOff>
      <xdr:row>17</xdr:row>
      <xdr:rowOff>75225</xdr:rowOff>
    </xdr:to>
    <xdr:sp macro="" textlink="">
      <xdr:nvSpPr>
        <xdr:cNvPr id="5" name="テキスト ボックス 4">
          <a:extLst>
            <a:ext uri="{FF2B5EF4-FFF2-40B4-BE49-F238E27FC236}">
              <a16:creationId xmlns:a16="http://schemas.microsoft.com/office/drawing/2014/main" id="{6E8270FA-58F8-4FF3-8761-93BB214A9F75}"/>
            </a:ext>
          </a:extLst>
        </xdr:cNvPr>
        <xdr:cNvSpPr txBox="1"/>
      </xdr:nvSpPr>
      <xdr:spPr>
        <a:xfrm>
          <a:off x="4105276" y="4138613"/>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twoCellAnchor>
    <xdr:from>
      <xdr:col>4</xdr:col>
      <xdr:colOff>871537</xdr:colOff>
      <xdr:row>19</xdr:row>
      <xdr:rowOff>14289</xdr:rowOff>
    </xdr:from>
    <xdr:to>
      <xdr:col>5</xdr:col>
      <xdr:colOff>170475</xdr:colOff>
      <xdr:row>19</xdr:row>
      <xdr:rowOff>194289</xdr:rowOff>
    </xdr:to>
    <xdr:sp macro="" textlink="">
      <xdr:nvSpPr>
        <xdr:cNvPr id="6" name="テキスト ボックス 5">
          <a:extLst>
            <a:ext uri="{FF2B5EF4-FFF2-40B4-BE49-F238E27FC236}">
              <a16:creationId xmlns:a16="http://schemas.microsoft.com/office/drawing/2014/main" id="{BE69B4B0-E5D6-4011-92DB-55DA06CE2DEC}"/>
            </a:ext>
          </a:extLst>
        </xdr:cNvPr>
        <xdr:cNvSpPr txBox="1"/>
      </xdr:nvSpPr>
      <xdr:spPr>
        <a:xfrm>
          <a:off x="4972050" y="4505327"/>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c</a:t>
          </a:r>
          <a:endParaRPr kumimoji="1" lang="ja-JP" altLang="en-US" sz="1200"/>
        </a:p>
      </xdr:txBody>
    </xdr:sp>
    <xdr:clientData/>
  </xdr:twoCellAnchor>
  <xdr:twoCellAnchor>
    <xdr:from>
      <xdr:col>5</xdr:col>
      <xdr:colOff>57151</xdr:colOff>
      <xdr:row>21</xdr:row>
      <xdr:rowOff>9526</xdr:rowOff>
    </xdr:from>
    <xdr:to>
      <xdr:col>5</xdr:col>
      <xdr:colOff>237151</xdr:colOff>
      <xdr:row>21</xdr:row>
      <xdr:rowOff>189526</xdr:rowOff>
    </xdr:to>
    <xdr:sp macro="" textlink="">
      <xdr:nvSpPr>
        <xdr:cNvPr id="7" name="テキスト ボックス 6">
          <a:extLst>
            <a:ext uri="{FF2B5EF4-FFF2-40B4-BE49-F238E27FC236}">
              <a16:creationId xmlns:a16="http://schemas.microsoft.com/office/drawing/2014/main" id="{5446F59F-90D3-4C8E-B848-E32B6C5DA2B0}"/>
            </a:ext>
          </a:extLst>
        </xdr:cNvPr>
        <xdr:cNvSpPr txBox="1"/>
      </xdr:nvSpPr>
      <xdr:spPr>
        <a:xfrm>
          <a:off x="5038726" y="5181601"/>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d</a:t>
          </a:r>
          <a:endParaRPr kumimoji="1" lang="ja-JP" altLang="en-US" sz="1200"/>
        </a:p>
      </xdr:txBody>
    </xdr:sp>
    <xdr:clientData/>
  </xdr:twoCellAnchor>
  <xdr:twoCellAnchor>
    <xdr:from>
      <xdr:col>2</xdr:col>
      <xdr:colOff>761998</xdr:colOff>
      <xdr:row>23</xdr:row>
      <xdr:rowOff>28577</xdr:rowOff>
    </xdr:from>
    <xdr:to>
      <xdr:col>3</xdr:col>
      <xdr:colOff>56174</xdr:colOff>
      <xdr:row>23</xdr:row>
      <xdr:rowOff>208577</xdr:rowOff>
    </xdr:to>
    <xdr:sp macro="" textlink="">
      <xdr:nvSpPr>
        <xdr:cNvPr id="8" name="テキスト ボックス 7">
          <a:extLst>
            <a:ext uri="{FF2B5EF4-FFF2-40B4-BE49-F238E27FC236}">
              <a16:creationId xmlns:a16="http://schemas.microsoft.com/office/drawing/2014/main" id="{89A994A8-CF29-41C8-A02D-CE28F64E9A0E}"/>
            </a:ext>
          </a:extLst>
        </xdr:cNvPr>
        <xdr:cNvSpPr txBox="1"/>
      </xdr:nvSpPr>
      <xdr:spPr>
        <a:xfrm>
          <a:off x="2828923" y="5724527"/>
          <a:ext cx="180001"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4</xdr:col>
      <xdr:colOff>577221</xdr:colOff>
      <xdr:row>23</xdr:row>
      <xdr:rowOff>41914</xdr:rowOff>
    </xdr:from>
    <xdr:to>
      <xdr:col>4</xdr:col>
      <xdr:colOff>757221</xdr:colOff>
      <xdr:row>23</xdr:row>
      <xdr:rowOff>221914</xdr:rowOff>
    </xdr:to>
    <xdr:sp macro="" textlink="">
      <xdr:nvSpPr>
        <xdr:cNvPr id="9" name="テキスト ボックス 8">
          <a:extLst>
            <a:ext uri="{FF2B5EF4-FFF2-40B4-BE49-F238E27FC236}">
              <a16:creationId xmlns:a16="http://schemas.microsoft.com/office/drawing/2014/main" id="{BAE6336E-E28A-40EF-B5AE-958702E63846}"/>
            </a:ext>
          </a:extLst>
        </xdr:cNvPr>
        <xdr:cNvSpPr txBox="1"/>
      </xdr:nvSpPr>
      <xdr:spPr>
        <a:xfrm>
          <a:off x="4402461" y="571881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3</xdr:col>
      <xdr:colOff>66678</xdr:colOff>
      <xdr:row>24</xdr:row>
      <xdr:rowOff>28578</xdr:rowOff>
    </xdr:from>
    <xdr:to>
      <xdr:col>3</xdr:col>
      <xdr:colOff>246678</xdr:colOff>
      <xdr:row>24</xdr:row>
      <xdr:rowOff>208578</xdr:rowOff>
    </xdr:to>
    <xdr:sp macro="" textlink="">
      <xdr:nvSpPr>
        <xdr:cNvPr id="10" name="テキスト ボックス 9">
          <a:extLst>
            <a:ext uri="{FF2B5EF4-FFF2-40B4-BE49-F238E27FC236}">
              <a16:creationId xmlns:a16="http://schemas.microsoft.com/office/drawing/2014/main" id="{2670EE01-CD9A-4F99-95E4-04BFC510FE99}"/>
            </a:ext>
          </a:extLst>
        </xdr:cNvPr>
        <xdr:cNvSpPr txBox="1"/>
      </xdr:nvSpPr>
      <xdr:spPr>
        <a:xfrm>
          <a:off x="3019428" y="5953128"/>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4</xdr:col>
      <xdr:colOff>748671</xdr:colOff>
      <xdr:row>24</xdr:row>
      <xdr:rowOff>41914</xdr:rowOff>
    </xdr:from>
    <xdr:to>
      <xdr:col>5</xdr:col>
      <xdr:colOff>52371</xdr:colOff>
      <xdr:row>24</xdr:row>
      <xdr:rowOff>221914</xdr:rowOff>
    </xdr:to>
    <xdr:sp macro="" textlink="">
      <xdr:nvSpPr>
        <xdr:cNvPr id="11" name="テキスト ボックス 10">
          <a:extLst>
            <a:ext uri="{FF2B5EF4-FFF2-40B4-BE49-F238E27FC236}">
              <a16:creationId xmlns:a16="http://schemas.microsoft.com/office/drawing/2014/main" id="{494FDCF6-5C36-47C2-BA04-F556E8B9A894}"/>
            </a:ext>
          </a:extLst>
        </xdr:cNvPr>
        <xdr:cNvSpPr txBox="1"/>
      </xdr:nvSpPr>
      <xdr:spPr>
        <a:xfrm>
          <a:off x="4573911" y="5947414"/>
          <a:ext cx="18762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7</xdr:col>
      <xdr:colOff>744863</xdr:colOff>
      <xdr:row>24</xdr:row>
      <xdr:rowOff>28580</xdr:rowOff>
    </xdr:from>
    <xdr:to>
      <xdr:col>8</xdr:col>
      <xdr:colOff>50467</xdr:colOff>
      <xdr:row>24</xdr:row>
      <xdr:rowOff>208580</xdr:rowOff>
    </xdr:to>
    <xdr:sp macro="" textlink="">
      <xdr:nvSpPr>
        <xdr:cNvPr id="12" name="テキスト ボックス 11">
          <a:extLst>
            <a:ext uri="{FF2B5EF4-FFF2-40B4-BE49-F238E27FC236}">
              <a16:creationId xmlns:a16="http://schemas.microsoft.com/office/drawing/2014/main" id="{92DED35E-EF66-4E52-9E13-36E593DD4AF7}"/>
            </a:ext>
          </a:extLst>
        </xdr:cNvPr>
        <xdr:cNvSpPr txBox="1"/>
      </xdr:nvSpPr>
      <xdr:spPr>
        <a:xfrm>
          <a:off x="7221863" y="5934080"/>
          <a:ext cx="189524"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1</xdr:col>
      <xdr:colOff>1643060</xdr:colOff>
      <xdr:row>26</xdr:row>
      <xdr:rowOff>14288</xdr:rowOff>
    </xdr:from>
    <xdr:to>
      <xdr:col>2</xdr:col>
      <xdr:colOff>170473</xdr:colOff>
      <xdr:row>26</xdr:row>
      <xdr:rowOff>194288</xdr:rowOff>
    </xdr:to>
    <xdr:sp macro="" textlink="">
      <xdr:nvSpPr>
        <xdr:cNvPr id="14" name="テキスト ボックス 13">
          <a:extLst>
            <a:ext uri="{FF2B5EF4-FFF2-40B4-BE49-F238E27FC236}">
              <a16:creationId xmlns:a16="http://schemas.microsoft.com/office/drawing/2014/main" id="{11E4806D-DEAD-430C-81C8-E46C3FCAF787}"/>
            </a:ext>
          </a:extLst>
        </xdr:cNvPr>
        <xdr:cNvSpPr txBox="1"/>
      </xdr:nvSpPr>
      <xdr:spPr>
        <a:xfrm>
          <a:off x="2047873" y="6305551"/>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twoCellAnchor>
    <xdr:from>
      <xdr:col>4</xdr:col>
      <xdr:colOff>47623</xdr:colOff>
      <xdr:row>26</xdr:row>
      <xdr:rowOff>23814</xdr:rowOff>
    </xdr:from>
    <xdr:to>
      <xdr:col>4</xdr:col>
      <xdr:colOff>227623</xdr:colOff>
      <xdr:row>26</xdr:row>
      <xdr:rowOff>203814</xdr:rowOff>
    </xdr:to>
    <xdr:sp macro="" textlink="">
      <xdr:nvSpPr>
        <xdr:cNvPr id="15" name="テキスト ボックス 14">
          <a:extLst>
            <a:ext uri="{FF2B5EF4-FFF2-40B4-BE49-F238E27FC236}">
              <a16:creationId xmlns:a16="http://schemas.microsoft.com/office/drawing/2014/main" id="{E6396F18-BE78-420D-9328-F5E0EEE406CE}"/>
            </a:ext>
          </a:extLst>
        </xdr:cNvPr>
        <xdr:cNvSpPr txBox="1"/>
      </xdr:nvSpPr>
      <xdr:spPr>
        <a:xfrm>
          <a:off x="3867148" y="6315077"/>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1</xdr:col>
      <xdr:colOff>1633534</xdr:colOff>
      <xdr:row>27</xdr:row>
      <xdr:rowOff>19051</xdr:rowOff>
    </xdr:from>
    <xdr:to>
      <xdr:col>2</xdr:col>
      <xdr:colOff>160947</xdr:colOff>
      <xdr:row>27</xdr:row>
      <xdr:rowOff>199051</xdr:rowOff>
    </xdr:to>
    <xdr:sp macro="" textlink="">
      <xdr:nvSpPr>
        <xdr:cNvPr id="16" name="テキスト ボックス 15">
          <a:extLst>
            <a:ext uri="{FF2B5EF4-FFF2-40B4-BE49-F238E27FC236}">
              <a16:creationId xmlns:a16="http://schemas.microsoft.com/office/drawing/2014/main" id="{0A50C09E-A252-44C1-9802-7341E2DA8A7E}"/>
            </a:ext>
          </a:extLst>
        </xdr:cNvPr>
        <xdr:cNvSpPr txBox="1"/>
      </xdr:nvSpPr>
      <xdr:spPr>
        <a:xfrm>
          <a:off x="2038347" y="6534151"/>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c</a:t>
          </a:r>
          <a:endParaRPr kumimoji="1" lang="ja-JP" altLang="en-US" sz="1200"/>
        </a:p>
      </xdr:txBody>
    </xdr:sp>
    <xdr:clientData/>
  </xdr:twoCellAnchor>
  <xdr:twoCellAnchor>
    <xdr:from>
      <xdr:col>4</xdr:col>
      <xdr:colOff>47622</xdr:colOff>
      <xdr:row>27</xdr:row>
      <xdr:rowOff>19051</xdr:rowOff>
    </xdr:from>
    <xdr:to>
      <xdr:col>4</xdr:col>
      <xdr:colOff>227622</xdr:colOff>
      <xdr:row>27</xdr:row>
      <xdr:rowOff>199051</xdr:rowOff>
    </xdr:to>
    <xdr:sp macro="" textlink="">
      <xdr:nvSpPr>
        <xdr:cNvPr id="17" name="テキスト ボックス 16">
          <a:extLst>
            <a:ext uri="{FF2B5EF4-FFF2-40B4-BE49-F238E27FC236}">
              <a16:creationId xmlns:a16="http://schemas.microsoft.com/office/drawing/2014/main" id="{13D70581-FAD9-43C5-9A87-CD663A888EC1}"/>
            </a:ext>
          </a:extLst>
        </xdr:cNvPr>
        <xdr:cNvSpPr txBox="1"/>
      </xdr:nvSpPr>
      <xdr:spPr>
        <a:xfrm>
          <a:off x="3867147" y="6534151"/>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d</a:t>
          </a:r>
          <a:endParaRPr kumimoji="1" lang="ja-JP" altLang="en-US" sz="1200"/>
        </a:p>
      </xdr:txBody>
    </xdr:sp>
    <xdr:clientData/>
  </xdr:twoCellAnchor>
  <xdr:twoCellAnchor>
    <xdr:from>
      <xdr:col>6</xdr:col>
      <xdr:colOff>47623</xdr:colOff>
      <xdr:row>27</xdr:row>
      <xdr:rowOff>28578</xdr:rowOff>
    </xdr:from>
    <xdr:to>
      <xdr:col>6</xdr:col>
      <xdr:colOff>227623</xdr:colOff>
      <xdr:row>27</xdr:row>
      <xdr:rowOff>208578</xdr:rowOff>
    </xdr:to>
    <xdr:sp macro="" textlink="">
      <xdr:nvSpPr>
        <xdr:cNvPr id="18" name="テキスト ボックス 17">
          <a:extLst>
            <a:ext uri="{FF2B5EF4-FFF2-40B4-BE49-F238E27FC236}">
              <a16:creationId xmlns:a16="http://schemas.microsoft.com/office/drawing/2014/main" id="{55EA6EB1-6A41-45B2-A17A-4B1423A31685}"/>
            </a:ext>
          </a:extLst>
        </xdr:cNvPr>
        <xdr:cNvSpPr txBox="1"/>
      </xdr:nvSpPr>
      <xdr:spPr>
        <a:xfrm>
          <a:off x="5629273" y="6543678"/>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4</xdr:col>
      <xdr:colOff>33339</xdr:colOff>
      <xdr:row>11</xdr:row>
      <xdr:rowOff>19052</xdr:rowOff>
    </xdr:from>
    <xdr:to>
      <xdr:col>4</xdr:col>
      <xdr:colOff>213339</xdr:colOff>
      <xdr:row>11</xdr:row>
      <xdr:rowOff>199052</xdr:rowOff>
    </xdr:to>
    <xdr:sp macro="" textlink="">
      <xdr:nvSpPr>
        <xdr:cNvPr id="19" name="テキスト ボックス 18">
          <a:extLst>
            <a:ext uri="{FF2B5EF4-FFF2-40B4-BE49-F238E27FC236}">
              <a16:creationId xmlns:a16="http://schemas.microsoft.com/office/drawing/2014/main" id="{36A594E7-0AD2-4580-936E-FA5522420C64}"/>
            </a:ext>
          </a:extLst>
        </xdr:cNvPr>
        <xdr:cNvSpPr txBox="1"/>
      </xdr:nvSpPr>
      <xdr:spPr>
        <a:xfrm>
          <a:off x="4133852" y="2286002"/>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4</xdr:col>
      <xdr:colOff>4764</xdr:colOff>
      <xdr:row>12</xdr:row>
      <xdr:rowOff>104776</xdr:rowOff>
    </xdr:from>
    <xdr:to>
      <xdr:col>4</xdr:col>
      <xdr:colOff>184764</xdr:colOff>
      <xdr:row>12</xdr:row>
      <xdr:rowOff>284776</xdr:rowOff>
    </xdr:to>
    <xdr:sp macro="" textlink="">
      <xdr:nvSpPr>
        <xdr:cNvPr id="20" name="テキスト ボックス 19">
          <a:extLst>
            <a:ext uri="{FF2B5EF4-FFF2-40B4-BE49-F238E27FC236}">
              <a16:creationId xmlns:a16="http://schemas.microsoft.com/office/drawing/2014/main" id="{C744C1CD-CDE4-4F2D-9109-AA9225E09989}"/>
            </a:ext>
          </a:extLst>
        </xdr:cNvPr>
        <xdr:cNvSpPr txBox="1"/>
      </xdr:nvSpPr>
      <xdr:spPr>
        <a:xfrm>
          <a:off x="4105277" y="259556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twoCellAnchor>
    <xdr:from>
      <xdr:col>4</xdr:col>
      <xdr:colOff>876300</xdr:colOff>
      <xdr:row>12</xdr:row>
      <xdr:rowOff>104777</xdr:rowOff>
    </xdr:from>
    <xdr:to>
      <xdr:col>5</xdr:col>
      <xdr:colOff>175238</xdr:colOff>
      <xdr:row>12</xdr:row>
      <xdr:rowOff>284777</xdr:rowOff>
    </xdr:to>
    <xdr:sp macro="" textlink="">
      <xdr:nvSpPr>
        <xdr:cNvPr id="21" name="テキスト ボックス 20">
          <a:extLst>
            <a:ext uri="{FF2B5EF4-FFF2-40B4-BE49-F238E27FC236}">
              <a16:creationId xmlns:a16="http://schemas.microsoft.com/office/drawing/2014/main" id="{6527CDF6-72CC-4015-BA24-C11B68670ABE}"/>
            </a:ext>
          </a:extLst>
        </xdr:cNvPr>
        <xdr:cNvSpPr txBox="1"/>
      </xdr:nvSpPr>
      <xdr:spPr>
        <a:xfrm>
          <a:off x="4976813" y="2595565"/>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c</a:t>
          </a:r>
          <a:endParaRPr kumimoji="1" lang="ja-JP" altLang="en-US" sz="1200"/>
        </a:p>
      </xdr:txBody>
    </xdr:sp>
    <xdr:clientData/>
  </xdr:twoCellAnchor>
  <xdr:twoCellAnchor>
    <xdr:from>
      <xdr:col>5</xdr:col>
      <xdr:colOff>38101</xdr:colOff>
      <xdr:row>11</xdr:row>
      <xdr:rowOff>19052</xdr:rowOff>
    </xdr:from>
    <xdr:to>
      <xdr:col>5</xdr:col>
      <xdr:colOff>218101</xdr:colOff>
      <xdr:row>11</xdr:row>
      <xdr:rowOff>199052</xdr:rowOff>
    </xdr:to>
    <xdr:sp macro="" textlink="">
      <xdr:nvSpPr>
        <xdr:cNvPr id="22" name="テキスト ボックス 21">
          <a:extLst>
            <a:ext uri="{FF2B5EF4-FFF2-40B4-BE49-F238E27FC236}">
              <a16:creationId xmlns:a16="http://schemas.microsoft.com/office/drawing/2014/main" id="{6942CE3B-A9EC-4037-A229-070A74F9337C}"/>
            </a:ext>
          </a:extLst>
        </xdr:cNvPr>
        <xdr:cNvSpPr txBox="1"/>
      </xdr:nvSpPr>
      <xdr:spPr>
        <a:xfrm>
          <a:off x="5019676" y="2286002"/>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d</a:t>
          </a:r>
          <a:endParaRPr kumimoji="1" lang="ja-JP" altLang="en-US" sz="1200"/>
        </a:p>
      </xdr:txBody>
    </xdr:sp>
    <xdr:clientData/>
  </xdr:twoCellAnchor>
  <xdr:twoCellAnchor>
    <xdr:from>
      <xdr:col>5</xdr:col>
      <xdr:colOff>76200</xdr:colOff>
      <xdr:row>39</xdr:row>
      <xdr:rowOff>185737</xdr:rowOff>
    </xdr:from>
    <xdr:to>
      <xdr:col>5</xdr:col>
      <xdr:colOff>714375</xdr:colOff>
      <xdr:row>39</xdr:row>
      <xdr:rowOff>433387</xdr:rowOff>
    </xdr:to>
    <xdr:sp macro="" textlink="">
      <xdr:nvSpPr>
        <xdr:cNvPr id="24" name="テキスト ボックス 23">
          <a:extLst>
            <a:ext uri="{FF2B5EF4-FFF2-40B4-BE49-F238E27FC236}">
              <a16:creationId xmlns:a16="http://schemas.microsoft.com/office/drawing/2014/main" id="{7F049A3D-6ECD-43D0-A7DD-C56DF2CFD1B7}"/>
            </a:ext>
          </a:extLst>
        </xdr:cNvPr>
        <xdr:cNvSpPr txBox="1"/>
      </xdr:nvSpPr>
      <xdr:spPr>
        <a:xfrm>
          <a:off x="4776788" y="3624262"/>
          <a:ext cx="638175" cy="247650"/>
        </a:xfrm>
        <a:prstGeom prst="wedgeRoundRectCallout">
          <a:avLst>
            <a:gd name="adj1" fmla="val -59078"/>
            <a:gd name="adj2" fmla="val 205249"/>
            <a:gd name="adj3" fmla="val 16667"/>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７割水準</a:t>
          </a:r>
        </a:p>
      </xdr:txBody>
    </xdr:sp>
    <xdr:clientData/>
  </xdr:twoCellAnchor>
  <xdr:twoCellAnchor>
    <xdr:from>
      <xdr:col>4</xdr:col>
      <xdr:colOff>28575</xdr:colOff>
      <xdr:row>45</xdr:row>
      <xdr:rowOff>14289</xdr:rowOff>
    </xdr:from>
    <xdr:to>
      <xdr:col>4</xdr:col>
      <xdr:colOff>208575</xdr:colOff>
      <xdr:row>45</xdr:row>
      <xdr:rowOff>194289</xdr:rowOff>
    </xdr:to>
    <xdr:sp macro="" textlink="">
      <xdr:nvSpPr>
        <xdr:cNvPr id="25" name="テキスト ボックス 24">
          <a:extLst>
            <a:ext uri="{FF2B5EF4-FFF2-40B4-BE49-F238E27FC236}">
              <a16:creationId xmlns:a16="http://schemas.microsoft.com/office/drawing/2014/main" id="{93DD29EF-731C-4E4F-8229-61FDB2D092F1}"/>
            </a:ext>
          </a:extLst>
        </xdr:cNvPr>
        <xdr:cNvSpPr txBox="1"/>
      </xdr:nvSpPr>
      <xdr:spPr>
        <a:xfrm>
          <a:off x="3848100" y="4962527"/>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4</xdr:col>
      <xdr:colOff>4763</xdr:colOff>
      <xdr:row>40</xdr:row>
      <xdr:rowOff>19050</xdr:rowOff>
    </xdr:from>
    <xdr:to>
      <xdr:col>4</xdr:col>
      <xdr:colOff>184763</xdr:colOff>
      <xdr:row>41</xdr:row>
      <xdr:rowOff>75225</xdr:rowOff>
    </xdr:to>
    <xdr:sp macro="" textlink="">
      <xdr:nvSpPr>
        <xdr:cNvPr id="26" name="テキスト ボックス 25">
          <a:extLst>
            <a:ext uri="{FF2B5EF4-FFF2-40B4-BE49-F238E27FC236}">
              <a16:creationId xmlns:a16="http://schemas.microsoft.com/office/drawing/2014/main" id="{0E1483C5-D6E2-446E-8238-00D1654A2761}"/>
            </a:ext>
          </a:extLst>
        </xdr:cNvPr>
        <xdr:cNvSpPr txBox="1"/>
      </xdr:nvSpPr>
      <xdr:spPr>
        <a:xfrm>
          <a:off x="3824288" y="3914775"/>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twoCellAnchor>
    <xdr:from>
      <xdr:col>4</xdr:col>
      <xdr:colOff>871537</xdr:colOff>
      <xdr:row>43</xdr:row>
      <xdr:rowOff>14289</xdr:rowOff>
    </xdr:from>
    <xdr:to>
      <xdr:col>5</xdr:col>
      <xdr:colOff>170475</xdr:colOff>
      <xdr:row>43</xdr:row>
      <xdr:rowOff>194289</xdr:rowOff>
    </xdr:to>
    <xdr:sp macro="" textlink="">
      <xdr:nvSpPr>
        <xdr:cNvPr id="27" name="テキスト ボックス 26">
          <a:extLst>
            <a:ext uri="{FF2B5EF4-FFF2-40B4-BE49-F238E27FC236}">
              <a16:creationId xmlns:a16="http://schemas.microsoft.com/office/drawing/2014/main" id="{284AD4BB-F05A-45BB-A1AD-83C35929CE19}"/>
            </a:ext>
          </a:extLst>
        </xdr:cNvPr>
        <xdr:cNvSpPr txBox="1"/>
      </xdr:nvSpPr>
      <xdr:spPr>
        <a:xfrm>
          <a:off x="4691062" y="4281489"/>
          <a:ext cx="180001"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c</a:t>
          </a:r>
          <a:endParaRPr kumimoji="1" lang="ja-JP" altLang="en-US" sz="1200"/>
        </a:p>
      </xdr:txBody>
    </xdr:sp>
    <xdr:clientData/>
  </xdr:twoCellAnchor>
  <xdr:twoCellAnchor>
    <xdr:from>
      <xdr:col>5</xdr:col>
      <xdr:colOff>57151</xdr:colOff>
      <xdr:row>45</xdr:row>
      <xdr:rowOff>9526</xdr:rowOff>
    </xdr:from>
    <xdr:to>
      <xdr:col>5</xdr:col>
      <xdr:colOff>237151</xdr:colOff>
      <xdr:row>45</xdr:row>
      <xdr:rowOff>189526</xdr:rowOff>
    </xdr:to>
    <xdr:sp macro="" textlink="">
      <xdr:nvSpPr>
        <xdr:cNvPr id="28" name="テキスト ボックス 27">
          <a:extLst>
            <a:ext uri="{FF2B5EF4-FFF2-40B4-BE49-F238E27FC236}">
              <a16:creationId xmlns:a16="http://schemas.microsoft.com/office/drawing/2014/main" id="{7F3D8AE1-3676-43A5-BFF0-6C5FB653899C}"/>
            </a:ext>
          </a:extLst>
        </xdr:cNvPr>
        <xdr:cNvSpPr txBox="1"/>
      </xdr:nvSpPr>
      <xdr:spPr>
        <a:xfrm>
          <a:off x="4757739" y="495776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d</a:t>
          </a:r>
          <a:endParaRPr kumimoji="1" lang="ja-JP" altLang="en-US" sz="1200"/>
        </a:p>
      </xdr:txBody>
    </xdr:sp>
    <xdr:clientData/>
  </xdr:twoCellAnchor>
  <xdr:twoCellAnchor>
    <xdr:from>
      <xdr:col>2</xdr:col>
      <xdr:colOff>752473</xdr:colOff>
      <xdr:row>47</xdr:row>
      <xdr:rowOff>28577</xdr:rowOff>
    </xdr:from>
    <xdr:to>
      <xdr:col>3</xdr:col>
      <xdr:colOff>46649</xdr:colOff>
      <xdr:row>47</xdr:row>
      <xdr:rowOff>208577</xdr:rowOff>
    </xdr:to>
    <xdr:sp macro="" textlink="">
      <xdr:nvSpPr>
        <xdr:cNvPr id="29" name="テキスト ボックス 28">
          <a:extLst>
            <a:ext uri="{FF2B5EF4-FFF2-40B4-BE49-F238E27FC236}">
              <a16:creationId xmlns:a16="http://schemas.microsoft.com/office/drawing/2014/main" id="{F7438679-BA0E-4B5D-9FA4-8861909EF263}"/>
            </a:ext>
          </a:extLst>
        </xdr:cNvPr>
        <xdr:cNvSpPr txBox="1"/>
      </xdr:nvSpPr>
      <xdr:spPr>
        <a:xfrm>
          <a:off x="2819398" y="11839577"/>
          <a:ext cx="180001"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4</xdr:col>
      <xdr:colOff>575316</xdr:colOff>
      <xdr:row>47</xdr:row>
      <xdr:rowOff>41914</xdr:rowOff>
    </xdr:from>
    <xdr:to>
      <xdr:col>4</xdr:col>
      <xdr:colOff>755316</xdr:colOff>
      <xdr:row>47</xdr:row>
      <xdr:rowOff>221914</xdr:rowOff>
    </xdr:to>
    <xdr:sp macro="" textlink="">
      <xdr:nvSpPr>
        <xdr:cNvPr id="30" name="テキスト ボックス 29">
          <a:extLst>
            <a:ext uri="{FF2B5EF4-FFF2-40B4-BE49-F238E27FC236}">
              <a16:creationId xmlns:a16="http://schemas.microsoft.com/office/drawing/2014/main" id="{F93C466D-5D0B-4636-99A2-DDA4EC0E7521}"/>
            </a:ext>
          </a:extLst>
        </xdr:cNvPr>
        <xdr:cNvSpPr txBox="1"/>
      </xdr:nvSpPr>
      <xdr:spPr>
        <a:xfrm>
          <a:off x="4400556" y="1181481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3</xdr:col>
      <xdr:colOff>66678</xdr:colOff>
      <xdr:row>48</xdr:row>
      <xdr:rowOff>28578</xdr:rowOff>
    </xdr:from>
    <xdr:to>
      <xdr:col>3</xdr:col>
      <xdr:colOff>246678</xdr:colOff>
      <xdr:row>48</xdr:row>
      <xdr:rowOff>208578</xdr:rowOff>
    </xdr:to>
    <xdr:sp macro="" textlink="">
      <xdr:nvSpPr>
        <xdr:cNvPr id="31" name="テキスト ボックス 30">
          <a:extLst>
            <a:ext uri="{FF2B5EF4-FFF2-40B4-BE49-F238E27FC236}">
              <a16:creationId xmlns:a16="http://schemas.microsoft.com/office/drawing/2014/main" id="{6658B5CC-A205-4002-AB93-28317BA7E894}"/>
            </a:ext>
          </a:extLst>
        </xdr:cNvPr>
        <xdr:cNvSpPr txBox="1"/>
      </xdr:nvSpPr>
      <xdr:spPr>
        <a:xfrm>
          <a:off x="3019428" y="12068178"/>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4</xdr:col>
      <xdr:colOff>763911</xdr:colOff>
      <xdr:row>48</xdr:row>
      <xdr:rowOff>49534</xdr:rowOff>
    </xdr:from>
    <xdr:to>
      <xdr:col>5</xdr:col>
      <xdr:colOff>67611</xdr:colOff>
      <xdr:row>49</xdr:row>
      <xdr:rowOff>934</xdr:rowOff>
    </xdr:to>
    <xdr:sp macro="" textlink="">
      <xdr:nvSpPr>
        <xdr:cNvPr id="32" name="テキスト ボックス 31">
          <a:extLst>
            <a:ext uri="{FF2B5EF4-FFF2-40B4-BE49-F238E27FC236}">
              <a16:creationId xmlns:a16="http://schemas.microsoft.com/office/drawing/2014/main" id="{515EBD51-8AD7-48BA-8530-9868EC2843FC}"/>
            </a:ext>
          </a:extLst>
        </xdr:cNvPr>
        <xdr:cNvSpPr txBox="1"/>
      </xdr:nvSpPr>
      <xdr:spPr>
        <a:xfrm>
          <a:off x="4589151" y="12051034"/>
          <a:ext cx="18762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7</xdr:col>
      <xdr:colOff>729623</xdr:colOff>
      <xdr:row>48</xdr:row>
      <xdr:rowOff>36200</xdr:rowOff>
    </xdr:from>
    <xdr:to>
      <xdr:col>8</xdr:col>
      <xdr:colOff>35227</xdr:colOff>
      <xdr:row>48</xdr:row>
      <xdr:rowOff>216200</xdr:rowOff>
    </xdr:to>
    <xdr:sp macro="" textlink="">
      <xdr:nvSpPr>
        <xdr:cNvPr id="33" name="テキスト ボックス 32">
          <a:extLst>
            <a:ext uri="{FF2B5EF4-FFF2-40B4-BE49-F238E27FC236}">
              <a16:creationId xmlns:a16="http://schemas.microsoft.com/office/drawing/2014/main" id="{80CA513F-CF71-42E0-925C-6B7D38CA7C3C}"/>
            </a:ext>
          </a:extLst>
        </xdr:cNvPr>
        <xdr:cNvSpPr txBox="1"/>
      </xdr:nvSpPr>
      <xdr:spPr>
        <a:xfrm>
          <a:off x="7206623" y="12037700"/>
          <a:ext cx="189524"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1</xdr:col>
      <xdr:colOff>1638301</xdr:colOff>
      <xdr:row>50</xdr:row>
      <xdr:rowOff>28576</xdr:rowOff>
    </xdr:from>
    <xdr:to>
      <xdr:col>2</xdr:col>
      <xdr:colOff>165714</xdr:colOff>
      <xdr:row>50</xdr:row>
      <xdr:rowOff>208576</xdr:rowOff>
    </xdr:to>
    <xdr:sp macro="" textlink="">
      <xdr:nvSpPr>
        <xdr:cNvPr id="34" name="テキスト ボックス 33">
          <a:extLst>
            <a:ext uri="{FF2B5EF4-FFF2-40B4-BE49-F238E27FC236}">
              <a16:creationId xmlns:a16="http://schemas.microsoft.com/office/drawing/2014/main" id="{4A0244A9-309E-4A7B-9DD9-68A1579E69EB}"/>
            </a:ext>
          </a:extLst>
        </xdr:cNvPr>
        <xdr:cNvSpPr txBox="1"/>
      </xdr:nvSpPr>
      <xdr:spPr>
        <a:xfrm>
          <a:off x="2043114" y="12353926"/>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twoCellAnchor>
    <xdr:from>
      <xdr:col>4</xdr:col>
      <xdr:colOff>76201</xdr:colOff>
      <xdr:row>50</xdr:row>
      <xdr:rowOff>23814</xdr:rowOff>
    </xdr:from>
    <xdr:to>
      <xdr:col>4</xdr:col>
      <xdr:colOff>256201</xdr:colOff>
      <xdr:row>50</xdr:row>
      <xdr:rowOff>203814</xdr:rowOff>
    </xdr:to>
    <xdr:sp macro="" textlink="">
      <xdr:nvSpPr>
        <xdr:cNvPr id="35" name="テキスト ボックス 34">
          <a:extLst>
            <a:ext uri="{FF2B5EF4-FFF2-40B4-BE49-F238E27FC236}">
              <a16:creationId xmlns:a16="http://schemas.microsoft.com/office/drawing/2014/main" id="{CDED41FD-6C35-4CBD-8BAA-796E8B9A3254}"/>
            </a:ext>
          </a:extLst>
        </xdr:cNvPr>
        <xdr:cNvSpPr txBox="1"/>
      </xdr:nvSpPr>
      <xdr:spPr>
        <a:xfrm>
          <a:off x="3895726" y="6091239"/>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1</xdr:col>
      <xdr:colOff>1628775</xdr:colOff>
      <xdr:row>51</xdr:row>
      <xdr:rowOff>33339</xdr:rowOff>
    </xdr:from>
    <xdr:to>
      <xdr:col>2</xdr:col>
      <xdr:colOff>156188</xdr:colOff>
      <xdr:row>51</xdr:row>
      <xdr:rowOff>213339</xdr:rowOff>
    </xdr:to>
    <xdr:sp macro="" textlink="">
      <xdr:nvSpPr>
        <xdr:cNvPr id="36" name="テキスト ボックス 35">
          <a:extLst>
            <a:ext uri="{FF2B5EF4-FFF2-40B4-BE49-F238E27FC236}">
              <a16:creationId xmlns:a16="http://schemas.microsoft.com/office/drawing/2014/main" id="{06DB5C2A-93AD-4C53-A428-8848223A21E9}"/>
            </a:ext>
          </a:extLst>
        </xdr:cNvPr>
        <xdr:cNvSpPr txBox="1"/>
      </xdr:nvSpPr>
      <xdr:spPr>
        <a:xfrm>
          <a:off x="2033588" y="12582527"/>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c</a:t>
          </a:r>
          <a:endParaRPr kumimoji="1" lang="ja-JP" altLang="en-US" sz="1200"/>
        </a:p>
      </xdr:txBody>
    </xdr:sp>
    <xdr:clientData/>
  </xdr:twoCellAnchor>
  <xdr:twoCellAnchor>
    <xdr:from>
      <xdr:col>4</xdr:col>
      <xdr:colOff>76200</xdr:colOff>
      <xdr:row>51</xdr:row>
      <xdr:rowOff>19051</xdr:rowOff>
    </xdr:from>
    <xdr:to>
      <xdr:col>4</xdr:col>
      <xdr:colOff>256200</xdr:colOff>
      <xdr:row>51</xdr:row>
      <xdr:rowOff>199051</xdr:rowOff>
    </xdr:to>
    <xdr:sp macro="" textlink="">
      <xdr:nvSpPr>
        <xdr:cNvPr id="37" name="テキスト ボックス 36">
          <a:extLst>
            <a:ext uri="{FF2B5EF4-FFF2-40B4-BE49-F238E27FC236}">
              <a16:creationId xmlns:a16="http://schemas.microsoft.com/office/drawing/2014/main" id="{B7850580-31A8-4235-9B0E-11D3C89717ED}"/>
            </a:ext>
          </a:extLst>
        </xdr:cNvPr>
        <xdr:cNvSpPr txBox="1"/>
      </xdr:nvSpPr>
      <xdr:spPr>
        <a:xfrm>
          <a:off x="3895725" y="631031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d</a:t>
          </a:r>
          <a:endParaRPr kumimoji="1" lang="ja-JP" altLang="en-US" sz="1200"/>
        </a:p>
      </xdr:txBody>
    </xdr:sp>
    <xdr:clientData/>
  </xdr:twoCellAnchor>
  <xdr:twoCellAnchor>
    <xdr:from>
      <xdr:col>6</xdr:col>
      <xdr:colOff>76201</xdr:colOff>
      <xdr:row>51</xdr:row>
      <xdr:rowOff>28578</xdr:rowOff>
    </xdr:from>
    <xdr:to>
      <xdr:col>6</xdr:col>
      <xdr:colOff>256201</xdr:colOff>
      <xdr:row>51</xdr:row>
      <xdr:rowOff>208578</xdr:rowOff>
    </xdr:to>
    <xdr:sp macro="" textlink="">
      <xdr:nvSpPr>
        <xdr:cNvPr id="38" name="テキスト ボックス 37">
          <a:extLst>
            <a:ext uri="{FF2B5EF4-FFF2-40B4-BE49-F238E27FC236}">
              <a16:creationId xmlns:a16="http://schemas.microsoft.com/office/drawing/2014/main" id="{CDE1CD11-937A-4E55-93A4-2468828D8AFD}"/>
            </a:ext>
          </a:extLst>
        </xdr:cNvPr>
        <xdr:cNvSpPr txBox="1"/>
      </xdr:nvSpPr>
      <xdr:spPr>
        <a:xfrm>
          <a:off x="5657851" y="6319841"/>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4</xdr:col>
      <xdr:colOff>33339</xdr:colOff>
      <xdr:row>35</xdr:row>
      <xdr:rowOff>19052</xdr:rowOff>
    </xdr:from>
    <xdr:to>
      <xdr:col>4</xdr:col>
      <xdr:colOff>213339</xdr:colOff>
      <xdr:row>35</xdr:row>
      <xdr:rowOff>199052</xdr:rowOff>
    </xdr:to>
    <xdr:sp macro="" textlink="">
      <xdr:nvSpPr>
        <xdr:cNvPr id="39" name="テキスト ボックス 38">
          <a:extLst>
            <a:ext uri="{FF2B5EF4-FFF2-40B4-BE49-F238E27FC236}">
              <a16:creationId xmlns:a16="http://schemas.microsoft.com/office/drawing/2014/main" id="{13F7C285-8CE8-4178-9F2E-4E36B0B006B6}"/>
            </a:ext>
          </a:extLst>
        </xdr:cNvPr>
        <xdr:cNvSpPr txBox="1"/>
      </xdr:nvSpPr>
      <xdr:spPr>
        <a:xfrm>
          <a:off x="3852864" y="2286002"/>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4</xdr:col>
      <xdr:colOff>4764</xdr:colOff>
      <xdr:row>36</xdr:row>
      <xdr:rowOff>104776</xdr:rowOff>
    </xdr:from>
    <xdr:to>
      <xdr:col>4</xdr:col>
      <xdr:colOff>184764</xdr:colOff>
      <xdr:row>36</xdr:row>
      <xdr:rowOff>284776</xdr:rowOff>
    </xdr:to>
    <xdr:sp macro="" textlink="">
      <xdr:nvSpPr>
        <xdr:cNvPr id="40" name="テキスト ボックス 39">
          <a:extLst>
            <a:ext uri="{FF2B5EF4-FFF2-40B4-BE49-F238E27FC236}">
              <a16:creationId xmlns:a16="http://schemas.microsoft.com/office/drawing/2014/main" id="{1AB8697C-310B-4C31-BBF6-FF7FF4F7B76B}"/>
            </a:ext>
          </a:extLst>
        </xdr:cNvPr>
        <xdr:cNvSpPr txBox="1"/>
      </xdr:nvSpPr>
      <xdr:spPr>
        <a:xfrm>
          <a:off x="3824289" y="259556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twoCellAnchor>
    <xdr:from>
      <xdr:col>4</xdr:col>
      <xdr:colOff>876300</xdr:colOff>
      <xdr:row>36</xdr:row>
      <xdr:rowOff>104777</xdr:rowOff>
    </xdr:from>
    <xdr:to>
      <xdr:col>5</xdr:col>
      <xdr:colOff>175238</xdr:colOff>
      <xdr:row>36</xdr:row>
      <xdr:rowOff>284777</xdr:rowOff>
    </xdr:to>
    <xdr:sp macro="" textlink="">
      <xdr:nvSpPr>
        <xdr:cNvPr id="41" name="テキスト ボックス 40">
          <a:extLst>
            <a:ext uri="{FF2B5EF4-FFF2-40B4-BE49-F238E27FC236}">
              <a16:creationId xmlns:a16="http://schemas.microsoft.com/office/drawing/2014/main" id="{C5D45593-5D76-455D-8A8E-3FFD03800299}"/>
            </a:ext>
          </a:extLst>
        </xdr:cNvPr>
        <xdr:cNvSpPr txBox="1"/>
      </xdr:nvSpPr>
      <xdr:spPr>
        <a:xfrm>
          <a:off x="4695825" y="2595565"/>
          <a:ext cx="180001"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c</a:t>
          </a:r>
          <a:endParaRPr kumimoji="1" lang="ja-JP" altLang="en-US" sz="1200"/>
        </a:p>
      </xdr:txBody>
    </xdr:sp>
    <xdr:clientData/>
  </xdr:twoCellAnchor>
  <xdr:twoCellAnchor>
    <xdr:from>
      <xdr:col>5</xdr:col>
      <xdr:colOff>38101</xdr:colOff>
      <xdr:row>35</xdr:row>
      <xdr:rowOff>19052</xdr:rowOff>
    </xdr:from>
    <xdr:to>
      <xdr:col>5</xdr:col>
      <xdr:colOff>218101</xdr:colOff>
      <xdr:row>35</xdr:row>
      <xdr:rowOff>199052</xdr:rowOff>
    </xdr:to>
    <xdr:sp macro="" textlink="">
      <xdr:nvSpPr>
        <xdr:cNvPr id="42" name="テキスト ボックス 41">
          <a:extLst>
            <a:ext uri="{FF2B5EF4-FFF2-40B4-BE49-F238E27FC236}">
              <a16:creationId xmlns:a16="http://schemas.microsoft.com/office/drawing/2014/main" id="{DCD43C2C-05B9-4AC1-AA08-1761AF41586F}"/>
            </a:ext>
          </a:extLst>
        </xdr:cNvPr>
        <xdr:cNvSpPr txBox="1"/>
      </xdr:nvSpPr>
      <xdr:spPr>
        <a:xfrm>
          <a:off x="4738689" y="2286002"/>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d</a:t>
          </a:r>
          <a:endParaRPr kumimoji="1" lang="ja-JP" altLang="en-US" sz="1200"/>
        </a:p>
      </xdr:txBody>
    </xdr:sp>
    <xdr:clientData/>
  </xdr:twoCellAnchor>
  <xdr:twoCellAnchor>
    <xdr:from>
      <xdr:col>4</xdr:col>
      <xdr:colOff>90487</xdr:colOff>
      <xdr:row>52</xdr:row>
      <xdr:rowOff>14289</xdr:rowOff>
    </xdr:from>
    <xdr:to>
      <xdr:col>6</xdr:col>
      <xdr:colOff>876299</xdr:colOff>
      <xdr:row>52</xdr:row>
      <xdr:rowOff>209553</xdr:rowOff>
    </xdr:to>
    <xdr:sp macro="" textlink="">
      <xdr:nvSpPr>
        <xdr:cNvPr id="44" name="右中かっこ 43">
          <a:extLst>
            <a:ext uri="{FF2B5EF4-FFF2-40B4-BE49-F238E27FC236}">
              <a16:creationId xmlns:a16="http://schemas.microsoft.com/office/drawing/2014/main" id="{B06D0A5A-749A-42C0-B092-61AA8B761C79}"/>
            </a:ext>
          </a:extLst>
        </xdr:cNvPr>
        <xdr:cNvSpPr/>
      </xdr:nvSpPr>
      <xdr:spPr>
        <a:xfrm rot="5400000">
          <a:off x="5086349" y="11168065"/>
          <a:ext cx="195264" cy="254793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76200</xdr:colOff>
      <xdr:row>64</xdr:row>
      <xdr:rowOff>185737</xdr:rowOff>
    </xdr:from>
    <xdr:to>
      <xdr:col>5</xdr:col>
      <xdr:colOff>714375</xdr:colOff>
      <xdr:row>64</xdr:row>
      <xdr:rowOff>433387</xdr:rowOff>
    </xdr:to>
    <xdr:sp macro="" textlink="">
      <xdr:nvSpPr>
        <xdr:cNvPr id="45" name="テキスト ボックス 44">
          <a:extLst>
            <a:ext uri="{FF2B5EF4-FFF2-40B4-BE49-F238E27FC236}">
              <a16:creationId xmlns:a16="http://schemas.microsoft.com/office/drawing/2014/main" id="{89F1354D-B5FF-466A-B509-01588EB2B9C6}"/>
            </a:ext>
          </a:extLst>
        </xdr:cNvPr>
        <xdr:cNvSpPr txBox="1"/>
      </xdr:nvSpPr>
      <xdr:spPr>
        <a:xfrm>
          <a:off x="4776788" y="9658350"/>
          <a:ext cx="638175" cy="247650"/>
        </a:xfrm>
        <a:prstGeom prst="wedgeRoundRectCallout">
          <a:avLst>
            <a:gd name="adj1" fmla="val -59078"/>
            <a:gd name="adj2" fmla="val 205249"/>
            <a:gd name="adj3" fmla="val 16667"/>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７割水準</a:t>
          </a:r>
        </a:p>
      </xdr:txBody>
    </xdr:sp>
    <xdr:clientData/>
  </xdr:twoCellAnchor>
  <xdr:twoCellAnchor>
    <xdr:from>
      <xdr:col>3</xdr:col>
      <xdr:colOff>28575</xdr:colOff>
      <xdr:row>70</xdr:row>
      <xdr:rowOff>14289</xdr:rowOff>
    </xdr:from>
    <xdr:to>
      <xdr:col>3</xdr:col>
      <xdr:colOff>208575</xdr:colOff>
      <xdr:row>70</xdr:row>
      <xdr:rowOff>194289</xdr:rowOff>
    </xdr:to>
    <xdr:sp macro="" textlink="">
      <xdr:nvSpPr>
        <xdr:cNvPr id="46" name="テキスト ボックス 45">
          <a:extLst>
            <a:ext uri="{FF2B5EF4-FFF2-40B4-BE49-F238E27FC236}">
              <a16:creationId xmlns:a16="http://schemas.microsoft.com/office/drawing/2014/main" id="{30DEB84D-42E4-4436-B326-8ACEDBCEF9F2}"/>
            </a:ext>
          </a:extLst>
        </xdr:cNvPr>
        <xdr:cNvSpPr txBox="1"/>
      </xdr:nvSpPr>
      <xdr:spPr>
        <a:xfrm>
          <a:off x="3848100" y="1099661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4</xdr:col>
      <xdr:colOff>871537</xdr:colOff>
      <xdr:row>68</xdr:row>
      <xdr:rowOff>14289</xdr:rowOff>
    </xdr:from>
    <xdr:to>
      <xdr:col>5</xdr:col>
      <xdr:colOff>170475</xdr:colOff>
      <xdr:row>68</xdr:row>
      <xdr:rowOff>194289</xdr:rowOff>
    </xdr:to>
    <xdr:sp macro="" textlink="">
      <xdr:nvSpPr>
        <xdr:cNvPr id="48" name="テキスト ボックス 47">
          <a:extLst>
            <a:ext uri="{FF2B5EF4-FFF2-40B4-BE49-F238E27FC236}">
              <a16:creationId xmlns:a16="http://schemas.microsoft.com/office/drawing/2014/main" id="{552332B1-A410-43A0-BC7B-A1860AABBDA3}"/>
            </a:ext>
          </a:extLst>
        </xdr:cNvPr>
        <xdr:cNvSpPr txBox="1"/>
      </xdr:nvSpPr>
      <xdr:spPr>
        <a:xfrm>
          <a:off x="4691062" y="10315577"/>
          <a:ext cx="180001"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c</a:t>
          </a:r>
          <a:endParaRPr kumimoji="1" lang="ja-JP" altLang="en-US" sz="1200"/>
        </a:p>
      </xdr:txBody>
    </xdr:sp>
    <xdr:clientData/>
  </xdr:twoCellAnchor>
  <xdr:twoCellAnchor>
    <xdr:from>
      <xdr:col>5</xdr:col>
      <xdr:colOff>57151</xdr:colOff>
      <xdr:row>70</xdr:row>
      <xdr:rowOff>9526</xdr:rowOff>
    </xdr:from>
    <xdr:to>
      <xdr:col>5</xdr:col>
      <xdr:colOff>237151</xdr:colOff>
      <xdr:row>70</xdr:row>
      <xdr:rowOff>189526</xdr:rowOff>
    </xdr:to>
    <xdr:sp macro="" textlink="">
      <xdr:nvSpPr>
        <xdr:cNvPr id="49" name="テキスト ボックス 48">
          <a:extLst>
            <a:ext uri="{FF2B5EF4-FFF2-40B4-BE49-F238E27FC236}">
              <a16:creationId xmlns:a16="http://schemas.microsoft.com/office/drawing/2014/main" id="{3A6FA2A2-24B5-4378-84A7-95D31A301301}"/>
            </a:ext>
          </a:extLst>
        </xdr:cNvPr>
        <xdr:cNvSpPr txBox="1"/>
      </xdr:nvSpPr>
      <xdr:spPr>
        <a:xfrm>
          <a:off x="4757739" y="10991851"/>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d</a:t>
          </a:r>
          <a:endParaRPr kumimoji="1" lang="ja-JP" altLang="en-US" sz="1200"/>
        </a:p>
      </xdr:txBody>
    </xdr:sp>
    <xdr:clientData/>
  </xdr:twoCellAnchor>
  <xdr:twoCellAnchor>
    <xdr:from>
      <xdr:col>2</xdr:col>
      <xdr:colOff>761998</xdr:colOff>
      <xdr:row>72</xdr:row>
      <xdr:rowOff>28577</xdr:rowOff>
    </xdr:from>
    <xdr:to>
      <xdr:col>3</xdr:col>
      <xdr:colOff>56174</xdr:colOff>
      <xdr:row>72</xdr:row>
      <xdr:rowOff>208577</xdr:rowOff>
    </xdr:to>
    <xdr:sp macro="" textlink="">
      <xdr:nvSpPr>
        <xdr:cNvPr id="50" name="テキスト ボックス 49">
          <a:extLst>
            <a:ext uri="{FF2B5EF4-FFF2-40B4-BE49-F238E27FC236}">
              <a16:creationId xmlns:a16="http://schemas.microsoft.com/office/drawing/2014/main" id="{5C7A57CF-C02C-4F4C-9C4D-995682ABF031}"/>
            </a:ext>
          </a:extLst>
        </xdr:cNvPr>
        <xdr:cNvSpPr txBox="1"/>
      </xdr:nvSpPr>
      <xdr:spPr>
        <a:xfrm>
          <a:off x="2828923" y="18183227"/>
          <a:ext cx="180001"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4</xdr:col>
      <xdr:colOff>554361</xdr:colOff>
      <xdr:row>72</xdr:row>
      <xdr:rowOff>19054</xdr:rowOff>
    </xdr:from>
    <xdr:to>
      <xdr:col>4</xdr:col>
      <xdr:colOff>734361</xdr:colOff>
      <xdr:row>72</xdr:row>
      <xdr:rowOff>199054</xdr:rowOff>
    </xdr:to>
    <xdr:sp macro="" textlink="">
      <xdr:nvSpPr>
        <xdr:cNvPr id="51" name="テキスト ボックス 50">
          <a:extLst>
            <a:ext uri="{FF2B5EF4-FFF2-40B4-BE49-F238E27FC236}">
              <a16:creationId xmlns:a16="http://schemas.microsoft.com/office/drawing/2014/main" id="{67A61654-568D-4D0D-A939-DC211D9AB9AA}"/>
            </a:ext>
          </a:extLst>
        </xdr:cNvPr>
        <xdr:cNvSpPr txBox="1"/>
      </xdr:nvSpPr>
      <xdr:spPr>
        <a:xfrm>
          <a:off x="4379601" y="1810893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3</xdr:col>
      <xdr:colOff>76203</xdr:colOff>
      <xdr:row>73</xdr:row>
      <xdr:rowOff>28578</xdr:rowOff>
    </xdr:from>
    <xdr:to>
      <xdr:col>3</xdr:col>
      <xdr:colOff>256203</xdr:colOff>
      <xdr:row>73</xdr:row>
      <xdr:rowOff>208578</xdr:rowOff>
    </xdr:to>
    <xdr:sp macro="" textlink="">
      <xdr:nvSpPr>
        <xdr:cNvPr id="52" name="テキスト ボックス 51">
          <a:extLst>
            <a:ext uri="{FF2B5EF4-FFF2-40B4-BE49-F238E27FC236}">
              <a16:creationId xmlns:a16="http://schemas.microsoft.com/office/drawing/2014/main" id="{6239B9FC-56C6-4028-BFF5-C4A5D0FDED75}"/>
            </a:ext>
          </a:extLst>
        </xdr:cNvPr>
        <xdr:cNvSpPr txBox="1"/>
      </xdr:nvSpPr>
      <xdr:spPr>
        <a:xfrm>
          <a:off x="3028953" y="18411828"/>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4</xdr:col>
      <xdr:colOff>758196</xdr:colOff>
      <xdr:row>73</xdr:row>
      <xdr:rowOff>43819</xdr:rowOff>
    </xdr:from>
    <xdr:to>
      <xdr:col>5</xdr:col>
      <xdr:colOff>61896</xdr:colOff>
      <xdr:row>73</xdr:row>
      <xdr:rowOff>223819</xdr:rowOff>
    </xdr:to>
    <xdr:sp macro="" textlink="">
      <xdr:nvSpPr>
        <xdr:cNvPr id="53" name="テキスト ボックス 52">
          <a:extLst>
            <a:ext uri="{FF2B5EF4-FFF2-40B4-BE49-F238E27FC236}">
              <a16:creationId xmlns:a16="http://schemas.microsoft.com/office/drawing/2014/main" id="{53714149-D69B-40AB-9A5F-1981C34E788F}"/>
            </a:ext>
          </a:extLst>
        </xdr:cNvPr>
        <xdr:cNvSpPr txBox="1"/>
      </xdr:nvSpPr>
      <xdr:spPr>
        <a:xfrm>
          <a:off x="4583436" y="18362299"/>
          <a:ext cx="18762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7</xdr:col>
      <xdr:colOff>714383</xdr:colOff>
      <xdr:row>73</xdr:row>
      <xdr:rowOff>20960</xdr:rowOff>
    </xdr:from>
    <xdr:to>
      <xdr:col>8</xdr:col>
      <xdr:colOff>19987</xdr:colOff>
      <xdr:row>73</xdr:row>
      <xdr:rowOff>200960</xdr:rowOff>
    </xdr:to>
    <xdr:sp macro="" textlink="">
      <xdr:nvSpPr>
        <xdr:cNvPr id="54" name="テキスト ボックス 53">
          <a:extLst>
            <a:ext uri="{FF2B5EF4-FFF2-40B4-BE49-F238E27FC236}">
              <a16:creationId xmlns:a16="http://schemas.microsoft.com/office/drawing/2014/main" id="{A54A0C15-2B7C-4836-86EE-479B7CBE0007}"/>
            </a:ext>
          </a:extLst>
        </xdr:cNvPr>
        <xdr:cNvSpPr txBox="1"/>
      </xdr:nvSpPr>
      <xdr:spPr>
        <a:xfrm>
          <a:off x="7191383" y="18339440"/>
          <a:ext cx="189524"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1</xdr:col>
      <xdr:colOff>1647823</xdr:colOff>
      <xdr:row>75</xdr:row>
      <xdr:rowOff>14288</xdr:rowOff>
    </xdr:from>
    <xdr:to>
      <xdr:col>2</xdr:col>
      <xdr:colOff>175236</xdr:colOff>
      <xdr:row>75</xdr:row>
      <xdr:rowOff>194288</xdr:rowOff>
    </xdr:to>
    <xdr:sp macro="" textlink="">
      <xdr:nvSpPr>
        <xdr:cNvPr id="55" name="テキスト ボックス 54">
          <a:extLst>
            <a:ext uri="{FF2B5EF4-FFF2-40B4-BE49-F238E27FC236}">
              <a16:creationId xmlns:a16="http://schemas.microsoft.com/office/drawing/2014/main" id="{47702EDB-050E-457C-AD77-51960CCC6838}"/>
            </a:ext>
          </a:extLst>
        </xdr:cNvPr>
        <xdr:cNvSpPr txBox="1"/>
      </xdr:nvSpPr>
      <xdr:spPr>
        <a:xfrm>
          <a:off x="2052636" y="18597563"/>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twoCellAnchor>
    <xdr:from>
      <xdr:col>4</xdr:col>
      <xdr:colOff>52386</xdr:colOff>
      <xdr:row>75</xdr:row>
      <xdr:rowOff>23814</xdr:rowOff>
    </xdr:from>
    <xdr:to>
      <xdr:col>4</xdr:col>
      <xdr:colOff>232386</xdr:colOff>
      <xdr:row>75</xdr:row>
      <xdr:rowOff>203814</xdr:rowOff>
    </xdr:to>
    <xdr:sp macro="" textlink="">
      <xdr:nvSpPr>
        <xdr:cNvPr id="56" name="テキスト ボックス 55">
          <a:extLst>
            <a:ext uri="{FF2B5EF4-FFF2-40B4-BE49-F238E27FC236}">
              <a16:creationId xmlns:a16="http://schemas.microsoft.com/office/drawing/2014/main" id="{3113F485-2B27-4A6E-AA16-7D3A15AC2E4C}"/>
            </a:ext>
          </a:extLst>
        </xdr:cNvPr>
        <xdr:cNvSpPr txBox="1"/>
      </xdr:nvSpPr>
      <xdr:spPr>
        <a:xfrm>
          <a:off x="3871911" y="18607089"/>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1</xdr:col>
      <xdr:colOff>1638297</xdr:colOff>
      <xdr:row>76</xdr:row>
      <xdr:rowOff>19051</xdr:rowOff>
    </xdr:from>
    <xdr:to>
      <xdr:col>2</xdr:col>
      <xdr:colOff>165710</xdr:colOff>
      <xdr:row>76</xdr:row>
      <xdr:rowOff>199051</xdr:rowOff>
    </xdr:to>
    <xdr:sp macro="" textlink="">
      <xdr:nvSpPr>
        <xdr:cNvPr id="57" name="テキスト ボックス 56">
          <a:extLst>
            <a:ext uri="{FF2B5EF4-FFF2-40B4-BE49-F238E27FC236}">
              <a16:creationId xmlns:a16="http://schemas.microsoft.com/office/drawing/2014/main" id="{A60AF9AC-703F-43AE-B4BA-16194E19B0D3}"/>
            </a:ext>
          </a:extLst>
        </xdr:cNvPr>
        <xdr:cNvSpPr txBox="1"/>
      </xdr:nvSpPr>
      <xdr:spPr>
        <a:xfrm>
          <a:off x="2043110" y="1882616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c</a:t>
          </a:r>
          <a:endParaRPr kumimoji="1" lang="ja-JP" altLang="en-US" sz="1200"/>
        </a:p>
      </xdr:txBody>
    </xdr:sp>
    <xdr:clientData/>
  </xdr:twoCellAnchor>
  <xdr:twoCellAnchor>
    <xdr:from>
      <xdr:col>4</xdr:col>
      <xdr:colOff>52385</xdr:colOff>
      <xdr:row>76</xdr:row>
      <xdr:rowOff>19051</xdr:rowOff>
    </xdr:from>
    <xdr:to>
      <xdr:col>4</xdr:col>
      <xdr:colOff>232385</xdr:colOff>
      <xdr:row>76</xdr:row>
      <xdr:rowOff>199051</xdr:rowOff>
    </xdr:to>
    <xdr:sp macro="" textlink="">
      <xdr:nvSpPr>
        <xdr:cNvPr id="58" name="テキスト ボックス 57">
          <a:extLst>
            <a:ext uri="{FF2B5EF4-FFF2-40B4-BE49-F238E27FC236}">
              <a16:creationId xmlns:a16="http://schemas.microsoft.com/office/drawing/2014/main" id="{9AC40F97-C14A-4DCB-BA7D-D921B1EE38EC}"/>
            </a:ext>
          </a:extLst>
        </xdr:cNvPr>
        <xdr:cNvSpPr txBox="1"/>
      </xdr:nvSpPr>
      <xdr:spPr>
        <a:xfrm>
          <a:off x="3871910" y="1882616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d</a:t>
          </a:r>
          <a:endParaRPr kumimoji="1" lang="ja-JP" altLang="en-US" sz="1200"/>
        </a:p>
      </xdr:txBody>
    </xdr:sp>
    <xdr:clientData/>
  </xdr:twoCellAnchor>
  <xdr:twoCellAnchor>
    <xdr:from>
      <xdr:col>6</xdr:col>
      <xdr:colOff>52386</xdr:colOff>
      <xdr:row>76</xdr:row>
      <xdr:rowOff>28578</xdr:rowOff>
    </xdr:from>
    <xdr:to>
      <xdr:col>6</xdr:col>
      <xdr:colOff>232386</xdr:colOff>
      <xdr:row>76</xdr:row>
      <xdr:rowOff>208578</xdr:rowOff>
    </xdr:to>
    <xdr:sp macro="" textlink="">
      <xdr:nvSpPr>
        <xdr:cNvPr id="59" name="テキスト ボックス 58">
          <a:extLst>
            <a:ext uri="{FF2B5EF4-FFF2-40B4-BE49-F238E27FC236}">
              <a16:creationId xmlns:a16="http://schemas.microsoft.com/office/drawing/2014/main" id="{C57AF7C9-564C-4579-9EC8-222539919797}"/>
            </a:ext>
          </a:extLst>
        </xdr:cNvPr>
        <xdr:cNvSpPr txBox="1"/>
      </xdr:nvSpPr>
      <xdr:spPr>
        <a:xfrm>
          <a:off x="5634036" y="18835691"/>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3</xdr:col>
      <xdr:colOff>28576</xdr:colOff>
      <xdr:row>60</xdr:row>
      <xdr:rowOff>19052</xdr:rowOff>
    </xdr:from>
    <xdr:to>
      <xdr:col>3</xdr:col>
      <xdr:colOff>208576</xdr:colOff>
      <xdr:row>60</xdr:row>
      <xdr:rowOff>199052</xdr:rowOff>
    </xdr:to>
    <xdr:sp macro="" textlink="">
      <xdr:nvSpPr>
        <xdr:cNvPr id="60" name="テキスト ボックス 59">
          <a:extLst>
            <a:ext uri="{FF2B5EF4-FFF2-40B4-BE49-F238E27FC236}">
              <a16:creationId xmlns:a16="http://schemas.microsoft.com/office/drawing/2014/main" id="{4039357C-D0D9-454B-B531-BF32021BD36E}"/>
            </a:ext>
          </a:extLst>
        </xdr:cNvPr>
        <xdr:cNvSpPr txBox="1"/>
      </xdr:nvSpPr>
      <xdr:spPr>
        <a:xfrm>
          <a:off x="2967039" y="14578015"/>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3</xdr:col>
      <xdr:colOff>1</xdr:colOff>
      <xdr:row>61</xdr:row>
      <xdr:rowOff>104776</xdr:rowOff>
    </xdr:from>
    <xdr:to>
      <xdr:col>3</xdr:col>
      <xdr:colOff>180001</xdr:colOff>
      <xdr:row>61</xdr:row>
      <xdr:rowOff>284776</xdr:rowOff>
    </xdr:to>
    <xdr:sp macro="" textlink="">
      <xdr:nvSpPr>
        <xdr:cNvPr id="61" name="テキスト ボックス 60">
          <a:extLst>
            <a:ext uri="{FF2B5EF4-FFF2-40B4-BE49-F238E27FC236}">
              <a16:creationId xmlns:a16="http://schemas.microsoft.com/office/drawing/2014/main" id="{B7E50D64-8421-44A1-9354-9B12B3469919}"/>
            </a:ext>
          </a:extLst>
        </xdr:cNvPr>
        <xdr:cNvSpPr txBox="1"/>
      </xdr:nvSpPr>
      <xdr:spPr>
        <a:xfrm>
          <a:off x="2938464" y="14887576"/>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twoCellAnchor>
    <xdr:from>
      <xdr:col>4</xdr:col>
      <xdr:colOff>876300</xdr:colOff>
      <xdr:row>61</xdr:row>
      <xdr:rowOff>104777</xdr:rowOff>
    </xdr:from>
    <xdr:to>
      <xdr:col>5</xdr:col>
      <xdr:colOff>175238</xdr:colOff>
      <xdr:row>61</xdr:row>
      <xdr:rowOff>284777</xdr:rowOff>
    </xdr:to>
    <xdr:sp macro="" textlink="">
      <xdr:nvSpPr>
        <xdr:cNvPr id="62" name="テキスト ボックス 61">
          <a:extLst>
            <a:ext uri="{FF2B5EF4-FFF2-40B4-BE49-F238E27FC236}">
              <a16:creationId xmlns:a16="http://schemas.microsoft.com/office/drawing/2014/main" id="{3D93C72B-6CA2-4284-9FAD-8B429720A071}"/>
            </a:ext>
          </a:extLst>
        </xdr:cNvPr>
        <xdr:cNvSpPr txBox="1"/>
      </xdr:nvSpPr>
      <xdr:spPr>
        <a:xfrm>
          <a:off x="4695825" y="8629652"/>
          <a:ext cx="180001"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c</a:t>
          </a:r>
          <a:endParaRPr kumimoji="1" lang="ja-JP" altLang="en-US" sz="1200"/>
        </a:p>
      </xdr:txBody>
    </xdr:sp>
    <xdr:clientData/>
  </xdr:twoCellAnchor>
  <xdr:twoCellAnchor>
    <xdr:from>
      <xdr:col>5</xdr:col>
      <xdr:colOff>38101</xdr:colOff>
      <xdr:row>60</xdr:row>
      <xdr:rowOff>19052</xdr:rowOff>
    </xdr:from>
    <xdr:to>
      <xdr:col>5</xdr:col>
      <xdr:colOff>218101</xdr:colOff>
      <xdr:row>60</xdr:row>
      <xdr:rowOff>199052</xdr:rowOff>
    </xdr:to>
    <xdr:sp macro="" textlink="">
      <xdr:nvSpPr>
        <xdr:cNvPr id="63" name="テキスト ボックス 62">
          <a:extLst>
            <a:ext uri="{FF2B5EF4-FFF2-40B4-BE49-F238E27FC236}">
              <a16:creationId xmlns:a16="http://schemas.microsoft.com/office/drawing/2014/main" id="{F1DAF9B5-7FE9-49F9-8D0F-D0E720848E0A}"/>
            </a:ext>
          </a:extLst>
        </xdr:cNvPr>
        <xdr:cNvSpPr txBox="1"/>
      </xdr:nvSpPr>
      <xdr:spPr>
        <a:xfrm>
          <a:off x="4738689" y="8320090"/>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d</a:t>
          </a:r>
          <a:endParaRPr kumimoji="1" lang="ja-JP" altLang="en-US" sz="1200"/>
        </a:p>
      </xdr:txBody>
    </xdr:sp>
    <xdr:clientData/>
  </xdr:twoCellAnchor>
  <xdr:twoCellAnchor>
    <xdr:from>
      <xdr:col>3</xdr:col>
      <xdr:colOff>881061</xdr:colOff>
      <xdr:row>63</xdr:row>
      <xdr:rowOff>176212</xdr:rowOff>
    </xdr:from>
    <xdr:to>
      <xdr:col>5</xdr:col>
      <xdr:colOff>18936</xdr:colOff>
      <xdr:row>64</xdr:row>
      <xdr:rowOff>323586</xdr:rowOff>
    </xdr:to>
    <xdr:sp macro="" textlink="">
      <xdr:nvSpPr>
        <xdr:cNvPr id="64" name="テキスト ボックス 63">
          <a:extLst>
            <a:ext uri="{FF2B5EF4-FFF2-40B4-BE49-F238E27FC236}">
              <a16:creationId xmlns:a16="http://schemas.microsoft.com/office/drawing/2014/main" id="{292BA44A-E94C-43CF-B02D-9315EAD95252}"/>
            </a:ext>
          </a:extLst>
        </xdr:cNvPr>
        <xdr:cNvSpPr txBox="1"/>
      </xdr:nvSpPr>
      <xdr:spPr>
        <a:xfrm>
          <a:off x="3819524" y="15516225"/>
          <a:ext cx="900000" cy="537899"/>
        </a:xfrm>
        <a:prstGeom prst="wedgeRoundRectCallout">
          <a:avLst>
            <a:gd name="adj1" fmla="val 6406"/>
            <a:gd name="adj2" fmla="val 115167"/>
            <a:gd name="adj3" fmla="val 16667"/>
          </a:avLst>
        </a:prstGeom>
        <a:solidFill>
          <a:schemeClr val="accent2">
            <a:lumMod val="20000"/>
            <a:lumOff val="8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lIns="0" tIns="0" rIns="0" bIns="0" rtlCol="0" anchor="t"/>
        <a:lstStyle/>
        <a:p>
          <a:pPr>
            <a:lnSpc>
              <a:spcPts val="1200"/>
            </a:lnSpc>
          </a:pPr>
          <a:r>
            <a:rPr kumimoji="1" lang="ja-JP" altLang="en-US" sz="800" b="0">
              <a:solidFill>
                <a:sysClr val="windowText" lastClr="000000"/>
              </a:solidFill>
            </a:rPr>
            <a:t>給料表異動や、給料の調整額等がなくなった場合など</a:t>
          </a:r>
        </a:p>
      </xdr:txBody>
    </xdr:sp>
    <xdr:clientData/>
  </xdr:twoCellAnchor>
  <xdr:twoCellAnchor>
    <xdr:from>
      <xdr:col>3</xdr:col>
      <xdr:colOff>4763</xdr:colOff>
      <xdr:row>65</xdr:row>
      <xdr:rowOff>19050</xdr:rowOff>
    </xdr:from>
    <xdr:to>
      <xdr:col>3</xdr:col>
      <xdr:colOff>184763</xdr:colOff>
      <xdr:row>66</xdr:row>
      <xdr:rowOff>75225</xdr:rowOff>
    </xdr:to>
    <xdr:sp macro="" textlink="">
      <xdr:nvSpPr>
        <xdr:cNvPr id="66" name="テキスト ボックス 65">
          <a:extLst>
            <a:ext uri="{FF2B5EF4-FFF2-40B4-BE49-F238E27FC236}">
              <a16:creationId xmlns:a16="http://schemas.microsoft.com/office/drawing/2014/main" id="{F000C7F8-B989-48EF-AEA2-E087D908E867}"/>
            </a:ext>
          </a:extLst>
        </xdr:cNvPr>
        <xdr:cNvSpPr txBox="1"/>
      </xdr:nvSpPr>
      <xdr:spPr>
        <a:xfrm>
          <a:off x="3824288" y="16206788"/>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twoCellAnchor>
    <xdr:from>
      <xdr:col>2</xdr:col>
      <xdr:colOff>66674</xdr:colOff>
      <xdr:row>63</xdr:row>
      <xdr:rowOff>357187</xdr:rowOff>
    </xdr:from>
    <xdr:to>
      <xdr:col>3</xdr:col>
      <xdr:colOff>214313</xdr:colOff>
      <xdr:row>64</xdr:row>
      <xdr:rowOff>266699</xdr:rowOff>
    </xdr:to>
    <xdr:sp macro="" textlink="">
      <xdr:nvSpPr>
        <xdr:cNvPr id="68" name="テキスト ボックス 67">
          <a:extLst>
            <a:ext uri="{FF2B5EF4-FFF2-40B4-BE49-F238E27FC236}">
              <a16:creationId xmlns:a16="http://schemas.microsoft.com/office/drawing/2014/main" id="{E43F2516-49E4-41DB-8BD5-BDA73ACC9538}"/>
            </a:ext>
          </a:extLst>
        </xdr:cNvPr>
        <xdr:cNvSpPr txBox="1"/>
      </xdr:nvSpPr>
      <xdr:spPr>
        <a:xfrm>
          <a:off x="2124074" y="15697200"/>
          <a:ext cx="1028702" cy="300037"/>
        </a:xfrm>
        <a:prstGeom prst="wedgeRoundRectCallout">
          <a:avLst>
            <a:gd name="adj1" fmla="val 54742"/>
            <a:gd name="adj2" fmla="val 95725"/>
            <a:gd name="adj3" fmla="val 16667"/>
          </a:avLst>
        </a:prstGeom>
        <a:solidFill>
          <a:schemeClr val="accent2">
            <a:lumMod val="60000"/>
            <a:lumOff val="40000"/>
          </a:schemeClr>
        </a:solidFill>
        <a:ln>
          <a:solidFill>
            <a:srgbClr val="FF0000"/>
          </a:solid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800" b="0">
              <a:solidFill>
                <a:sysClr val="windowText" lastClr="000000"/>
              </a:solidFill>
            </a:rPr>
            <a:t>給料月額のピーク</a:t>
          </a:r>
        </a:p>
      </xdr:txBody>
    </xdr:sp>
    <xdr:clientData/>
  </xdr:twoCellAnchor>
  <xdr:twoCellAnchor>
    <xdr:from>
      <xdr:col>2</xdr:col>
      <xdr:colOff>800100</xdr:colOff>
      <xdr:row>64</xdr:row>
      <xdr:rowOff>395287</xdr:rowOff>
    </xdr:from>
    <xdr:to>
      <xdr:col>4</xdr:col>
      <xdr:colOff>19050</xdr:colOff>
      <xdr:row>67</xdr:row>
      <xdr:rowOff>33337</xdr:rowOff>
    </xdr:to>
    <xdr:sp macro="" textlink="">
      <xdr:nvSpPr>
        <xdr:cNvPr id="3" name="楕円 2">
          <a:extLst>
            <a:ext uri="{FF2B5EF4-FFF2-40B4-BE49-F238E27FC236}">
              <a16:creationId xmlns:a16="http://schemas.microsoft.com/office/drawing/2014/main" id="{1425E6BC-9CD1-4AB6-BA9A-86ACDBF2457D}"/>
            </a:ext>
          </a:extLst>
        </xdr:cNvPr>
        <xdr:cNvSpPr/>
      </xdr:nvSpPr>
      <xdr:spPr>
        <a:xfrm>
          <a:off x="2857500" y="16125825"/>
          <a:ext cx="981075" cy="3429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80962</xdr:colOff>
      <xdr:row>38</xdr:row>
      <xdr:rowOff>361950</xdr:rowOff>
    </xdr:from>
    <xdr:to>
      <xdr:col>4</xdr:col>
      <xdr:colOff>228602</xdr:colOff>
      <xdr:row>39</xdr:row>
      <xdr:rowOff>271462</xdr:rowOff>
    </xdr:to>
    <xdr:sp macro="" textlink="">
      <xdr:nvSpPr>
        <xdr:cNvPr id="69" name="テキスト ボックス 68">
          <a:extLst>
            <a:ext uri="{FF2B5EF4-FFF2-40B4-BE49-F238E27FC236}">
              <a16:creationId xmlns:a16="http://schemas.microsoft.com/office/drawing/2014/main" id="{66CA3A90-77CF-4EBA-B8BF-F67C0F115BC6}"/>
            </a:ext>
          </a:extLst>
        </xdr:cNvPr>
        <xdr:cNvSpPr txBox="1"/>
      </xdr:nvSpPr>
      <xdr:spPr>
        <a:xfrm>
          <a:off x="3019425" y="9444038"/>
          <a:ext cx="1028702" cy="300037"/>
        </a:xfrm>
        <a:prstGeom prst="wedgeRoundRectCallout">
          <a:avLst>
            <a:gd name="adj1" fmla="val 54742"/>
            <a:gd name="adj2" fmla="val 95725"/>
            <a:gd name="adj3" fmla="val 16667"/>
          </a:avLst>
        </a:prstGeom>
        <a:solidFill>
          <a:schemeClr val="accent2">
            <a:lumMod val="60000"/>
            <a:lumOff val="40000"/>
          </a:schemeClr>
        </a:solidFill>
        <a:ln>
          <a:solidFill>
            <a:srgbClr val="FF0000"/>
          </a:solid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800" b="0">
              <a:solidFill>
                <a:sysClr val="windowText" lastClr="000000"/>
              </a:solidFill>
            </a:rPr>
            <a:t>給料月額のピーク</a:t>
          </a:r>
        </a:p>
      </xdr:txBody>
    </xdr:sp>
    <xdr:clientData/>
  </xdr:twoCellAnchor>
  <xdr:twoCellAnchor>
    <xdr:from>
      <xdr:col>3</xdr:col>
      <xdr:colOff>814388</xdr:colOff>
      <xdr:row>39</xdr:row>
      <xdr:rowOff>400050</xdr:rowOff>
    </xdr:from>
    <xdr:to>
      <xdr:col>5</xdr:col>
      <xdr:colOff>33338</xdr:colOff>
      <xdr:row>42</xdr:row>
      <xdr:rowOff>38100</xdr:rowOff>
    </xdr:to>
    <xdr:sp macro="" textlink="">
      <xdr:nvSpPr>
        <xdr:cNvPr id="70" name="楕円 69">
          <a:extLst>
            <a:ext uri="{FF2B5EF4-FFF2-40B4-BE49-F238E27FC236}">
              <a16:creationId xmlns:a16="http://schemas.microsoft.com/office/drawing/2014/main" id="{2D70E9E9-69E1-4F2E-9ED2-2D1B86A58F2A}"/>
            </a:ext>
          </a:extLst>
        </xdr:cNvPr>
        <xdr:cNvSpPr/>
      </xdr:nvSpPr>
      <xdr:spPr>
        <a:xfrm>
          <a:off x="3752851" y="9872663"/>
          <a:ext cx="981075" cy="3429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66675</xdr:colOff>
      <xdr:row>14</xdr:row>
      <xdr:rowOff>366712</xdr:rowOff>
    </xdr:from>
    <xdr:to>
      <xdr:col>4</xdr:col>
      <xdr:colOff>214315</xdr:colOff>
      <xdr:row>15</xdr:row>
      <xdr:rowOff>276224</xdr:rowOff>
    </xdr:to>
    <xdr:sp macro="" textlink="">
      <xdr:nvSpPr>
        <xdr:cNvPr id="71" name="テキスト ボックス 70">
          <a:extLst>
            <a:ext uri="{FF2B5EF4-FFF2-40B4-BE49-F238E27FC236}">
              <a16:creationId xmlns:a16="http://schemas.microsoft.com/office/drawing/2014/main" id="{B3CC7152-2FB4-40DC-99AC-CFBAEEDF852F}"/>
            </a:ext>
          </a:extLst>
        </xdr:cNvPr>
        <xdr:cNvSpPr txBox="1"/>
      </xdr:nvSpPr>
      <xdr:spPr>
        <a:xfrm>
          <a:off x="3005138" y="3414712"/>
          <a:ext cx="1028702" cy="300037"/>
        </a:xfrm>
        <a:prstGeom prst="wedgeRoundRectCallout">
          <a:avLst>
            <a:gd name="adj1" fmla="val 54742"/>
            <a:gd name="adj2" fmla="val 95725"/>
            <a:gd name="adj3" fmla="val 16667"/>
          </a:avLst>
        </a:prstGeom>
        <a:solidFill>
          <a:schemeClr val="accent2">
            <a:lumMod val="60000"/>
            <a:lumOff val="40000"/>
          </a:schemeClr>
        </a:solidFill>
        <a:ln>
          <a:solidFill>
            <a:srgbClr val="FF0000"/>
          </a:solid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800" b="0">
              <a:solidFill>
                <a:sysClr val="windowText" lastClr="000000"/>
              </a:solidFill>
            </a:rPr>
            <a:t>給料月額のピーク</a:t>
          </a:r>
        </a:p>
      </xdr:txBody>
    </xdr:sp>
    <xdr:clientData/>
  </xdr:twoCellAnchor>
  <xdr:twoCellAnchor>
    <xdr:from>
      <xdr:col>3</xdr:col>
      <xdr:colOff>800101</xdr:colOff>
      <xdr:row>15</xdr:row>
      <xdr:rowOff>404812</xdr:rowOff>
    </xdr:from>
    <xdr:to>
      <xdr:col>5</xdr:col>
      <xdr:colOff>19051</xdr:colOff>
      <xdr:row>18</xdr:row>
      <xdr:rowOff>42862</xdr:rowOff>
    </xdr:to>
    <xdr:sp macro="" textlink="">
      <xdr:nvSpPr>
        <xdr:cNvPr id="72" name="楕円 71">
          <a:extLst>
            <a:ext uri="{FF2B5EF4-FFF2-40B4-BE49-F238E27FC236}">
              <a16:creationId xmlns:a16="http://schemas.microsoft.com/office/drawing/2014/main" id="{AD04E40D-4930-4434-9391-D711DA1402B3}"/>
            </a:ext>
          </a:extLst>
        </xdr:cNvPr>
        <xdr:cNvSpPr/>
      </xdr:nvSpPr>
      <xdr:spPr>
        <a:xfrm>
          <a:off x="3738564" y="3843337"/>
          <a:ext cx="981075" cy="3429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1647823</xdr:colOff>
      <xdr:row>50</xdr:row>
      <xdr:rowOff>14288</xdr:rowOff>
    </xdr:from>
    <xdr:to>
      <xdr:col>2</xdr:col>
      <xdr:colOff>175236</xdr:colOff>
      <xdr:row>50</xdr:row>
      <xdr:rowOff>194288</xdr:rowOff>
    </xdr:to>
    <xdr:sp macro="" textlink="">
      <xdr:nvSpPr>
        <xdr:cNvPr id="73" name="テキスト ボックス 72">
          <a:extLst>
            <a:ext uri="{FF2B5EF4-FFF2-40B4-BE49-F238E27FC236}">
              <a16:creationId xmlns:a16="http://schemas.microsoft.com/office/drawing/2014/main" id="{BDC20E73-189F-4649-AE39-DA6F3A2D7EEE}"/>
            </a:ext>
          </a:extLst>
        </xdr:cNvPr>
        <xdr:cNvSpPr txBox="1"/>
      </xdr:nvSpPr>
      <xdr:spPr>
        <a:xfrm>
          <a:off x="2052636" y="18597563"/>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twoCellAnchor>
    <xdr:from>
      <xdr:col>1</xdr:col>
      <xdr:colOff>1647823</xdr:colOff>
      <xdr:row>26</xdr:row>
      <xdr:rowOff>14288</xdr:rowOff>
    </xdr:from>
    <xdr:to>
      <xdr:col>2</xdr:col>
      <xdr:colOff>175236</xdr:colOff>
      <xdr:row>26</xdr:row>
      <xdr:rowOff>194288</xdr:rowOff>
    </xdr:to>
    <xdr:sp macro="" textlink="">
      <xdr:nvSpPr>
        <xdr:cNvPr id="74" name="テキスト ボックス 73">
          <a:extLst>
            <a:ext uri="{FF2B5EF4-FFF2-40B4-BE49-F238E27FC236}">
              <a16:creationId xmlns:a16="http://schemas.microsoft.com/office/drawing/2014/main" id="{B571D4F1-8334-490F-9E2B-D7720D53363A}"/>
            </a:ext>
          </a:extLst>
        </xdr:cNvPr>
        <xdr:cNvSpPr txBox="1"/>
      </xdr:nvSpPr>
      <xdr:spPr>
        <a:xfrm>
          <a:off x="2052636" y="18597563"/>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P104"/>
  <sheetViews>
    <sheetView tabSelected="1" workbookViewId="0">
      <selection activeCell="E103" sqref="E103"/>
    </sheetView>
  </sheetViews>
  <sheetFormatPr defaultRowHeight="18"/>
  <cols>
    <col min="1" max="1" width="3.3984375" customWidth="1"/>
    <col min="2" max="2" width="12.59765625" customWidth="1"/>
    <col min="3" max="3" width="17.69921875" customWidth="1"/>
    <col min="4" max="4" width="9.8984375" bestFit="1" customWidth="1"/>
    <col min="5" max="5" width="13.09765625" customWidth="1"/>
    <col min="7" max="7" width="13.09765625" customWidth="1"/>
    <col min="9" max="9" width="10.09765625" bestFit="1" customWidth="1"/>
    <col min="10" max="10" width="6.19921875" customWidth="1"/>
    <col min="11" max="11" width="10.09765625" bestFit="1" customWidth="1"/>
    <col min="12" max="12" width="16.19921875" customWidth="1"/>
    <col min="13" max="15" width="8.8984375" customWidth="1"/>
    <col min="16" max="16" width="17.3984375" bestFit="1" customWidth="1"/>
  </cols>
  <sheetData>
    <row r="1" spans="1:16" ht="22.2">
      <c r="B1" s="234" t="s">
        <v>104</v>
      </c>
    </row>
    <row r="2" spans="1:16">
      <c r="B2" s="230" t="s">
        <v>314</v>
      </c>
      <c r="C2" s="230"/>
      <c r="D2" s="230"/>
      <c r="E2" s="230"/>
      <c r="F2" s="230"/>
      <c r="G2" s="230"/>
      <c r="H2" s="230"/>
      <c r="I2" s="231"/>
      <c r="J2" s="230"/>
      <c r="K2" s="230"/>
    </row>
    <row r="3" spans="1:16">
      <c r="B3" s="230" t="s">
        <v>312</v>
      </c>
      <c r="C3" s="230"/>
      <c r="D3" s="230"/>
      <c r="E3" s="230"/>
      <c r="F3" s="230"/>
      <c r="G3" s="230"/>
      <c r="H3" s="230"/>
      <c r="I3" s="232"/>
      <c r="J3" s="230"/>
      <c r="K3" s="230"/>
    </row>
    <row r="4" spans="1:16">
      <c r="B4" s="230" t="s">
        <v>368</v>
      </c>
      <c r="C4" s="230"/>
      <c r="D4" s="230"/>
      <c r="E4" s="230"/>
      <c r="F4" s="230"/>
      <c r="G4" s="230"/>
      <c r="H4" s="230"/>
      <c r="I4" s="231"/>
      <c r="J4" s="230"/>
      <c r="K4" s="230"/>
    </row>
    <row r="5" spans="1:16" ht="7.5" customHeight="1" thickBot="1">
      <c r="B5" s="230"/>
      <c r="C5" s="230"/>
      <c r="D5" s="230"/>
      <c r="E5" s="230"/>
      <c r="F5" s="230"/>
      <c r="G5" s="230"/>
      <c r="H5" s="230"/>
      <c r="I5" s="230"/>
      <c r="J5" s="230"/>
      <c r="K5" s="230"/>
    </row>
    <row r="6" spans="1:16" ht="19.2" thickTop="1" thickBot="1">
      <c r="B6" s="233" t="s">
        <v>308</v>
      </c>
      <c r="C6" s="230" t="s">
        <v>309</v>
      </c>
      <c r="D6" s="230"/>
      <c r="E6" s="230"/>
      <c r="F6" s="230"/>
      <c r="G6" s="230"/>
      <c r="H6" s="230"/>
      <c r="I6" s="230"/>
      <c r="J6" s="230"/>
      <c r="K6" s="230"/>
    </row>
    <row r="7" spans="1:16" ht="18.600000000000001" thickTop="1"/>
    <row r="8" spans="1:16" ht="32.4">
      <c r="B8" s="286" t="s">
        <v>97</v>
      </c>
      <c r="D8" s="60" t="s">
        <v>261</v>
      </c>
      <c r="E8" s="59"/>
      <c r="F8" s="59"/>
      <c r="G8" s="59"/>
      <c r="H8" s="59"/>
      <c r="I8" s="59"/>
      <c r="J8" s="59"/>
      <c r="K8" s="61" t="s">
        <v>89</v>
      </c>
      <c r="L8" s="236" t="s">
        <v>96</v>
      </c>
      <c r="M8" s="84"/>
    </row>
    <row r="10" spans="1:16" ht="28.8">
      <c r="A10" s="59"/>
      <c r="B10" s="58" t="s">
        <v>18</v>
      </c>
      <c r="C10" s="59"/>
      <c r="D10" s="358" t="s">
        <v>257</v>
      </c>
    </row>
    <row r="11" spans="1:16" ht="22.2">
      <c r="A11" s="59"/>
      <c r="C11" s="86" t="s">
        <v>262</v>
      </c>
      <c r="D11" s="74"/>
      <c r="E11" s="74" t="s">
        <v>106</v>
      </c>
      <c r="F11" s="74"/>
      <c r="G11" s="74"/>
      <c r="H11" s="74"/>
      <c r="I11" s="74"/>
    </row>
    <row r="12" spans="1:16" ht="27" thickBot="1">
      <c r="A12" s="59"/>
      <c r="C12" s="74"/>
      <c r="D12" s="74"/>
      <c r="E12" s="74" t="s">
        <v>19</v>
      </c>
      <c r="F12" s="74"/>
      <c r="G12" s="88" t="s">
        <v>107</v>
      </c>
      <c r="H12" s="74"/>
      <c r="I12" s="74"/>
    </row>
    <row r="13" spans="1:16" ht="19.2" thickTop="1" thickBot="1">
      <c r="A13" s="59"/>
      <c r="C13" s="78">
        <f>E13+G13</f>
        <v>315640</v>
      </c>
      <c r="D13" s="79" t="s">
        <v>99</v>
      </c>
      <c r="E13" s="303">
        <v>303500</v>
      </c>
      <c r="F13" s="79" t="s">
        <v>100</v>
      </c>
      <c r="G13" s="303">
        <v>12140</v>
      </c>
      <c r="H13" s="74" t="s">
        <v>83</v>
      </c>
      <c r="I13" s="74"/>
      <c r="P13" s="53" t="s">
        <v>120</v>
      </c>
    </row>
    <row r="14" spans="1:16" ht="18.600000000000001" thickTop="1">
      <c r="A14" s="59"/>
      <c r="I14" s="316"/>
      <c r="K14" s="316"/>
      <c r="P14" s="1" t="s">
        <v>8</v>
      </c>
    </row>
    <row r="15" spans="1:16" ht="22.2">
      <c r="A15" s="59"/>
      <c r="C15" s="87" t="s">
        <v>263</v>
      </c>
      <c r="D15" s="167" t="s">
        <v>289</v>
      </c>
      <c r="E15" s="74"/>
      <c r="F15" s="74"/>
      <c r="G15" s="74"/>
      <c r="H15" s="74"/>
      <c r="I15" s="74"/>
      <c r="J15" s="74"/>
      <c r="K15" s="74"/>
      <c r="P15" s="2" t="s">
        <v>14</v>
      </c>
    </row>
    <row r="16" spans="1:16" ht="18.600000000000001" thickBot="1">
      <c r="A16" s="59"/>
      <c r="C16" s="168" t="s">
        <v>259</v>
      </c>
      <c r="D16" s="74"/>
      <c r="E16" s="74"/>
      <c r="F16" s="74"/>
      <c r="G16" s="74"/>
      <c r="H16" s="74"/>
      <c r="I16" s="74"/>
      <c r="J16" s="74"/>
      <c r="K16" s="74"/>
      <c r="P16" s="2" t="s">
        <v>15</v>
      </c>
    </row>
    <row r="17" spans="1:16" ht="19.2" thickTop="1" thickBot="1">
      <c r="A17" s="59"/>
      <c r="C17" s="304" t="s">
        <v>14</v>
      </c>
      <c r="D17" s="76">
        <f>IF(C17=P14,2,IF(C17=P15,3,IF(C17=P16,3,IF(C17=P17,3,IF(C17=P18,3,IF(C17=P19,"-",IF(C17=P20,4)))))))</f>
        <v>3</v>
      </c>
      <c r="E17" s="74"/>
      <c r="F17" s="74"/>
      <c r="G17" s="74"/>
      <c r="H17" s="74"/>
      <c r="I17" s="74"/>
      <c r="J17" s="74"/>
      <c r="K17" s="74"/>
      <c r="M17" s="1"/>
      <c r="P17" s="2" t="s">
        <v>16</v>
      </c>
    </row>
    <row r="18" spans="1:16" ht="27" customHeight="1" thickTop="1" thickBot="1">
      <c r="A18" s="59"/>
      <c r="C18" s="74"/>
      <c r="D18" s="74"/>
      <c r="E18" s="98" t="s">
        <v>116</v>
      </c>
      <c r="F18" s="91"/>
      <c r="G18" s="81" t="s">
        <v>117</v>
      </c>
      <c r="H18" s="74"/>
      <c r="I18" s="81" t="s">
        <v>2</v>
      </c>
      <c r="J18" s="74"/>
      <c r="K18" s="81" t="s">
        <v>3</v>
      </c>
      <c r="M18" s="1"/>
      <c r="N18" s="2"/>
      <c r="O18" s="2"/>
      <c r="P18" s="2" t="s">
        <v>13</v>
      </c>
    </row>
    <row r="19" spans="1:16" ht="19.2" thickTop="1" thickBot="1">
      <c r="A19" s="59"/>
      <c r="C19" s="168" t="s">
        <v>102</v>
      </c>
      <c r="D19" s="74"/>
      <c r="E19" s="91">
        <f>ROUNDDOWN((E21-F30)/12,0)</f>
        <v>33</v>
      </c>
      <c r="F19" s="91" t="s">
        <v>5</v>
      </c>
      <c r="G19" s="89">
        <f>DATEDIF(I20,K20,"Y")</f>
        <v>33</v>
      </c>
      <c r="H19" s="74" t="s">
        <v>5</v>
      </c>
      <c r="I19" s="305">
        <v>33695</v>
      </c>
      <c r="J19" s="74"/>
      <c r="K19" s="305">
        <v>45747</v>
      </c>
      <c r="M19" s="2"/>
      <c r="N19" s="2"/>
      <c r="O19" s="2"/>
      <c r="P19" s="2"/>
    </row>
    <row r="20" spans="1:16" ht="18.600000000000001" thickTop="1">
      <c r="A20" s="59"/>
      <c r="C20" s="75">
        <f>IF(AND(12&gt;E21-F30,E21-F30&gt;=6),1,E19)</f>
        <v>33</v>
      </c>
      <c r="D20" s="74" t="s">
        <v>4</v>
      </c>
      <c r="E20" s="91">
        <f>MOD((E21-F30),12)</f>
        <v>0</v>
      </c>
      <c r="F20" s="91" t="s">
        <v>6</v>
      </c>
      <c r="G20" s="89">
        <f>DATEDIF(I20,K20,"YM")</f>
        <v>0</v>
      </c>
      <c r="H20" s="74" t="s">
        <v>6</v>
      </c>
      <c r="I20" s="77">
        <f>I19-DAY(I19)+1</f>
        <v>33695</v>
      </c>
      <c r="J20" s="74"/>
      <c r="K20" s="77">
        <f>EOMONTH(K19,0)+1</f>
        <v>45748</v>
      </c>
      <c r="M20" s="2"/>
      <c r="N20" s="2"/>
      <c r="O20" s="2"/>
      <c r="P20" s="2" t="s">
        <v>10</v>
      </c>
    </row>
    <row r="21" spans="1:16">
      <c r="A21" s="59"/>
      <c r="E21" s="92">
        <f>DATEDIF(I20,K20,"M")</f>
        <v>396</v>
      </c>
      <c r="F21" s="91"/>
      <c r="G21" s="287">
        <f>ROUNDUP((E21-F28)/12,0)</f>
        <v>33</v>
      </c>
      <c r="H21" s="287" t="s">
        <v>332</v>
      </c>
      <c r="I21" s="84"/>
    </row>
    <row r="22" spans="1:16">
      <c r="A22" s="59"/>
      <c r="C22" s="93" t="s">
        <v>118</v>
      </c>
      <c r="D22" s="95" t="s">
        <v>111</v>
      </c>
      <c r="E22" s="91"/>
      <c r="F22" s="91"/>
      <c r="G22" s="91"/>
      <c r="H22" s="91"/>
      <c r="I22" s="91"/>
      <c r="J22" s="91"/>
      <c r="K22" s="91"/>
      <c r="L22" s="91"/>
      <c r="M22" s="91"/>
      <c r="N22" s="91"/>
      <c r="O22" s="91"/>
      <c r="P22" s="91"/>
    </row>
    <row r="23" spans="1:16" ht="18.600000000000001" thickBot="1">
      <c r="A23" s="59"/>
      <c r="C23" s="91"/>
      <c r="D23" s="91" t="s">
        <v>112</v>
      </c>
      <c r="E23" s="91"/>
      <c r="F23" s="99" t="s">
        <v>113</v>
      </c>
      <c r="G23" s="96"/>
      <c r="H23" s="91"/>
      <c r="I23" s="91"/>
      <c r="J23" s="91"/>
      <c r="K23" s="91"/>
      <c r="L23" s="91"/>
      <c r="M23" s="91"/>
      <c r="N23" s="91"/>
      <c r="O23" s="91"/>
      <c r="P23" s="91"/>
    </row>
    <row r="24" spans="1:16" ht="19.2" thickTop="1" thickBot="1">
      <c r="A24" s="59"/>
      <c r="C24" s="90" t="s">
        <v>108</v>
      </c>
      <c r="D24" s="306">
        <v>0</v>
      </c>
      <c r="E24" s="91" t="s">
        <v>119</v>
      </c>
      <c r="F24" s="96">
        <f>ROUNDUP(D24/3,0)</f>
        <v>0</v>
      </c>
      <c r="G24" s="96" t="s">
        <v>331</v>
      </c>
      <c r="H24" s="91"/>
      <c r="I24" s="91"/>
      <c r="J24" s="91"/>
      <c r="K24" s="91"/>
      <c r="L24" s="91"/>
      <c r="M24" s="91"/>
      <c r="N24" s="91"/>
      <c r="O24" s="91"/>
      <c r="P24" s="91"/>
    </row>
    <row r="25" spans="1:16" ht="19.2" thickTop="1" thickBot="1">
      <c r="A25" s="59"/>
      <c r="C25" s="91"/>
      <c r="D25" s="91"/>
      <c r="E25" s="91"/>
      <c r="F25" s="96"/>
      <c r="G25" s="96"/>
      <c r="H25" s="91"/>
      <c r="I25" s="91"/>
      <c r="J25" s="91"/>
      <c r="K25" s="91"/>
      <c r="L25" s="91"/>
      <c r="M25" s="91"/>
      <c r="N25" s="91"/>
      <c r="O25" s="91"/>
      <c r="P25" s="91"/>
    </row>
    <row r="26" spans="1:16" ht="19.2" thickTop="1" thickBot="1">
      <c r="A26" s="59"/>
      <c r="C26" s="90" t="s">
        <v>109</v>
      </c>
      <c r="D26" s="306">
        <v>0</v>
      </c>
      <c r="E26" s="91" t="s">
        <v>119</v>
      </c>
      <c r="F26" s="96">
        <f>ROUNDUP(D26/2,0)</f>
        <v>0</v>
      </c>
      <c r="G26" s="96" t="s">
        <v>331</v>
      </c>
      <c r="H26" s="91"/>
      <c r="I26" s="91"/>
      <c r="J26" s="91"/>
      <c r="K26" s="91"/>
      <c r="L26" s="91"/>
      <c r="M26" s="91"/>
      <c r="N26" s="91"/>
      <c r="O26" s="91"/>
      <c r="P26" s="91"/>
    </row>
    <row r="27" spans="1:16" ht="19.2" thickTop="1" thickBot="1">
      <c r="A27" s="59"/>
      <c r="C27" s="91"/>
      <c r="D27" s="91"/>
      <c r="E27" s="91"/>
      <c r="F27" s="96"/>
      <c r="G27" s="96"/>
      <c r="H27" s="91"/>
      <c r="I27" s="91"/>
      <c r="J27" s="91"/>
      <c r="K27" s="91"/>
      <c r="L27" s="91"/>
      <c r="M27" s="91"/>
      <c r="N27" s="91"/>
      <c r="O27" s="91"/>
      <c r="P27" s="91"/>
    </row>
    <row r="28" spans="1:16" ht="19.2" thickTop="1" thickBot="1">
      <c r="A28" s="59"/>
      <c r="C28" s="90" t="s">
        <v>110</v>
      </c>
      <c r="D28" s="306"/>
      <c r="E28" s="91" t="s">
        <v>119</v>
      </c>
      <c r="F28" s="96">
        <f>D28</f>
        <v>0</v>
      </c>
      <c r="G28" s="96" t="s">
        <v>84</v>
      </c>
      <c r="H28" s="91"/>
      <c r="I28" s="91"/>
      <c r="J28" s="91"/>
      <c r="K28" s="91"/>
      <c r="L28" s="91"/>
      <c r="M28" s="91"/>
      <c r="N28" s="91"/>
      <c r="O28" s="91"/>
      <c r="P28" s="91"/>
    </row>
    <row r="29" spans="1:16" ht="18.600000000000001" thickTop="1">
      <c r="A29" s="59"/>
      <c r="C29" s="91"/>
      <c r="D29" s="91"/>
      <c r="E29" s="91"/>
      <c r="F29" s="96"/>
      <c r="G29" s="96"/>
      <c r="H29" s="91"/>
      <c r="I29" s="91"/>
      <c r="J29" s="91"/>
      <c r="K29" s="91"/>
      <c r="L29" s="91"/>
      <c r="M29" s="91"/>
      <c r="N29" s="91"/>
      <c r="O29" s="91"/>
      <c r="P29" s="91"/>
    </row>
    <row r="30" spans="1:16">
      <c r="A30" s="59"/>
      <c r="C30" s="91"/>
      <c r="D30" s="91"/>
      <c r="E30" s="98" t="s">
        <v>114</v>
      </c>
      <c r="F30" s="96">
        <f>SUM(F24,F26,F28)</f>
        <v>0</v>
      </c>
      <c r="G30" s="96" t="s">
        <v>84</v>
      </c>
      <c r="H30" s="90"/>
      <c r="I30" s="91"/>
      <c r="J30" s="91"/>
      <c r="K30" s="91"/>
      <c r="L30" s="91"/>
      <c r="M30" s="91"/>
      <c r="N30" s="91"/>
      <c r="O30" s="91"/>
      <c r="P30" s="91"/>
    </row>
    <row r="31" spans="1:16">
      <c r="A31" s="59"/>
      <c r="C31" s="91"/>
      <c r="D31" s="91"/>
      <c r="E31" s="100" t="s">
        <v>90</v>
      </c>
      <c r="F31" s="97">
        <f>ROUNDDOWN(F30/12,0)</f>
        <v>0</v>
      </c>
      <c r="G31" s="97" t="s">
        <v>115</v>
      </c>
      <c r="H31" s="94"/>
      <c r="I31" s="91"/>
      <c r="J31" s="91"/>
      <c r="K31" s="91"/>
      <c r="L31" s="91"/>
      <c r="M31" s="91"/>
      <c r="N31" s="91"/>
      <c r="O31" s="91"/>
      <c r="P31" s="91"/>
    </row>
    <row r="32" spans="1:16">
      <c r="A32" s="59"/>
      <c r="C32" s="91"/>
      <c r="D32" s="91"/>
      <c r="E32" s="91"/>
      <c r="F32" s="97">
        <f>MOD(F30,12)</f>
        <v>0</v>
      </c>
      <c r="G32" s="97" t="s">
        <v>84</v>
      </c>
      <c r="H32" s="91"/>
      <c r="I32" s="91"/>
      <c r="J32" s="91"/>
      <c r="K32" s="91"/>
      <c r="L32" s="91"/>
      <c r="M32" s="91"/>
      <c r="N32" s="91"/>
      <c r="O32" s="91"/>
      <c r="P32" s="91"/>
    </row>
    <row r="33" spans="1:12">
      <c r="A33" s="59"/>
      <c r="C33" s="84"/>
      <c r="D33" s="84"/>
      <c r="E33" s="84"/>
      <c r="F33" s="84"/>
      <c r="G33" s="84"/>
      <c r="H33" s="84"/>
      <c r="I33" s="84"/>
    </row>
    <row r="34" spans="1:12">
      <c r="A34" s="59"/>
      <c r="C34" s="83" t="s">
        <v>263</v>
      </c>
      <c r="D34" s="74"/>
      <c r="E34" s="366" t="s">
        <v>122</v>
      </c>
      <c r="F34" s="366"/>
      <c r="G34" s="366"/>
      <c r="H34" s="366"/>
      <c r="I34" s="366"/>
      <c r="J34" s="366"/>
      <c r="K34" s="366"/>
    </row>
    <row r="35" spans="1:12">
      <c r="A35" s="59"/>
      <c r="C35" s="75">
        <f>VLOOKUP(C20,支給率!A8:D52,D17,FALSE)</f>
        <v>45.323549999999997</v>
      </c>
      <c r="D35" s="74"/>
      <c r="E35" s="366"/>
      <c r="F35" s="366"/>
      <c r="G35" s="366"/>
      <c r="H35" s="366"/>
      <c r="I35" s="366"/>
      <c r="J35" s="366"/>
      <c r="K35" s="366"/>
    </row>
    <row r="36" spans="1:12">
      <c r="A36" s="59"/>
      <c r="C36" s="84"/>
      <c r="D36" s="84"/>
      <c r="E36" s="84"/>
      <c r="F36" s="84"/>
      <c r="G36" s="84"/>
      <c r="H36" s="84"/>
      <c r="I36" s="84"/>
    </row>
    <row r="37" spans="1:12">
      <c r="A37" s="59"/>
      <c r="C37" s="75" t="s">
        <v>262</v>
      </c>
      <c r="D37" s="74"/>
      <c r="E37" s="175" t="s">
        <v>263</v>
      </c>
      <c r="F37" s="74"/>
      <c r="G37" s="62" t="s">
        <v>21</v>
      </c>
      <c r="H37" s="84"/>
      <c r="I37" s="84"/>
    </row>
    <row r="38" spans="1:12">
      <c r="A38" s="59"/>
      <c r="C38" s="80">
        <f>C13</f>
        <v>315640</v>
      </c>
      <c r="D38" s="82" t="s">
        <v>0</v>
      </c>
      <c r="E38" s="75">
        <f>C35</f>
        <v>45.323549999999997</v>
      </c>
      <c r="F38" s="82" t="s">
        <v>17</v>
      </c>
      <c r="G38" s="63">
        <f>ROUNDDOWN(C38*E38,0)</f>
        <v>14305925</v>
      </c>
      <c r="H38" s="186" t="s">
        <v>317</v>
      </c>
      <c r="I38" s="84"/>
    </row>
    <row r="39" spans="1:12">
      <c r="A39" s="59"/>
    </row>
    <row r="40" spans="1:12" ht="32.25" customHeight="1">
      <c r="A40" s="59"/>
      <c r="B40" s="163" t="s">
        <v>216</v>
      </c>
      <c r="C40" s="163"/>
      <c r="D40" s="364" t="s">
        <v>249</v>
      </c>
      <c r="E40" s="365"/>
      <c r="F40" s="365"/>
      <c r="G40" s="365"/>
      <c r="H40" s="365"/>
      <c r="I40" s="365"/>
      <c r="J40" s="365"/>
      <c r="K40" s="213" t="s">
        <v>290</v>
      </c>
    </row>
    <row r="41" spans="1:12" ht="22.2">
      <c r="A41" s="59"/>
      <c r="B41" s="189"/>
      <c r="C41" s="164" t="s">
        <v>250</v>
      </c>
      <c r="D41" s="164"/>
      <c r="E41" s="164"/>
      <c r="F41" s="164"/>
      <c r="G41" s="164"/>
      <c r="H41" s="164"/>
      <c r="I41" s="164"/>
      <c r="J41" s="164"/>
      <c r="K41" s="164"/>
      <c r="L41" s="164"/>
    </row>
    <row r="42" spans="1:12" ht="22.2">
      <c r="A42" s="59"/>
      <c r="B42" s="189"/>
      <c r="C42" s="164" t="s">
        <v>256</v>
      </c>
      <c r="D42" s="164"/>
      <c r="E42" s="164"/>
      <c r="F42" s="164"/>
      <c r="G42" s="164"/>
      <c r="H42" s="164"/>
      <c r="I42" s="164"/>
      <c r="J42" s="164"/>
      <c r="K42" s="164"/>
      <c r="L42" s="164"/>
    </row>
    <row r="43" spans="1:12">
      <c r="A43" s="59"/>
      <c r="B43" s="359" t="s">
        <v>258</v>
      </c>
    </row>
    <row r="44" spans="1:12" ht="19.8">
      <c r="A44" s="59"/>
      <c r="B44" s="189"/>
      <c r="C44" s="172" t="s">
        <v>255</v>
      </c>
      <c r="D44" s="84"/>
      <c r="E44" s="84" t="s">
        <v>106</v>
      </c>
      <c r="F44" s="84"/>
      <c r="G44" s="84"/>
      <c r="H44" s="84"/>
      <c r="I44" s="84"/>
    </row>
    <row r="45" spans="1:12" ht="27" thickBot="1">
      <c r="A45" s="59"/>
      <c r="B45" s="189"/>
      <c r="C45" s="74"/>
      <c r="D45" s="74"/>
      <c r="E45" s="74" t="s">
        <v>19</v>
      </c>
      <c r="F45" s="74"/>
      <c r="G45" s="88" t="s">
        <v>107</v>
      </c>
      <c r="H45" s="74"/>
      <c r="I45" s="74"/>
    </row>
    <row r="46" spans="1:12" ht="19.2" thickTop="1" thickBot="1">
      <c r="A46" s="59"/>
      <c r="B46" s="189"/>
      <c r="C46" s="78">
        <f>E46+G46</f>
        <v>0</v>
      </c>
      <c r="D46" s="79" t="s">
        <v>99</v>
      </c>
      <c r="E46" s="303"/>
      <c r="F46" s="79" t="s">
        <v>100</v>
      </c>
      <c r="G46" s="303"/>
      <c r="H46" s="74" t="s">
        <v>83</v>
      </c>
      <c r="I46" s="74"/>
    </row>
    <row r="47" spans="1:12" ht="18.600000000000001" thickTop="1">
      <c r="A47" s="59"/>
      <c r="B47" s="189"/>
      <c r="C47" s="169"/>
      <c r="D47" s="170"/>
      <c r="E47" s="171"/>
      <c r="F47" s="170"/>
      <c r="G47" s="171"/>
      <c r="H47" s="84"/>
      <c r="I47" s="84"/>
    </row>
    <row r="48" spans="1:12" ht="19.8">
      <c r="A48" s="59"/>
      <c r="B48" s="189"/>
      <c r="C48" s="162" t="s">
        <v>252</v>
      </c>
    </row>
    <row r="49" spans="1:11" ht="18.600000000000001" thickBot="1">
      <c r="A49" s="59"/>
      <c r="B49" s="189"/>
      <c r="C49" s="74"/>
      <c r="D49" s="74"/>
      <c r="E49" s="98" t="s">
        <v>116</v>
      </c>
      <c r="F49" s="91"/>
      <c r="G49" s="81" t="s">
        <v>117</v>
      </c>
      <c r="H49" s="74"/>
      <c r="I49" s="81" t="s">
        <v>2</v>
      </c>
      <c r="K49" s="79" t="s">
        <v>285</v>
      </c>
    </row>
    <row r="50" spans="1:11" ht="19.2" thickTop="1" thickBot="1">
      <c r="A50" s="59"/>
      <c r="B50" s="189"/>
      <c r="C50" s="83" t="s">
        <v>102</v>
      </c>
      <c r="D50" s="74"/>
      <c r="E50" s="309">
        <f>ROUNDDOWN((E52-F60)/12,0)</f>
        <v>32</v>
      </c>
      <c r="F50" s="91" t="s">
        <v>5</v>
      </c>
      <c r="G50" s="89">
        <f>DATEDIF(I51,K51,"Y")</f>
        <v>32</v>
      </c>
      <c r="H50" s="74" t="s">
        <v>5</v>
      </c>
      <c r="I50" s="166">
        <f>I19</f>
        <v>33695</v>
      </c>
      <c r="K50" s="305">
        <v>45382</v>
      </c>
    </row>
    <row r="51" spans="1:11" ht="18.600000000000001" thickTop="1">
      <c r="A51" s="59"/>
      <c r="B51" s="189"/>
      <c r="C51" s="75">
        <f>E50</f>
        <v>32</v>
      </c>
      <c r="D51" s="74" t="s">
        <v>4</v>
      </c>
      <c r="E51" s="309">
        <f>MOD((E52-F58),12)</f>
        <v>0</v>
      </c>
      <c r="F51" s="91" t="s">
        <v>6</v>
      </c>
      <c r="G51" s="89">
        <f>DATEDIF(I51,K51,"YM")</f>
        <v>0</v>
      </c>
      <c r="H51" s="74" t="s">
        <v>6</v>
      </c>
      <c r="I51" s="77">
        <f>I50-DAY(I50)+1</f>
        <v>33695</v>
      </c>
      <c r="J51" s="74"/>
      <c r="K51" s="77">
        <f>EOMONTH(K50,0)+1</f>
        <v>45383</v>
      </c>
    </row>
    <row r="52" spans="1:11">
      <c r="A52" s="59"/>
      <c r="B52" s="189"/>
      <c r="C52" s="287"/>
      <c r="D52" s="287"/>
      <c r="E52" s="92">
        <f>DATEDIF(I51,K51,"M")</f>
        <v>384</v>
      </c>
      <c r="F52" s="91"/>
      <c r="G52" s="84"/>
      <c r="H52" s="84"/>
      <c r="I52" s="165"/>
    </row>
    <row r="53" spans="1:11">
      <c r="A53" s="59"/>
      <c r="B53" s="189"/>
      <c r="C53" s="177" t="s">
        <v>313</v>
      </c>
      <c r="D53" s="91"/>
      <c r="E53" s="173" t="s">
        <v>260</v>
      </c>
      <c r="F53" s="91"/>
      <c r="G53" s="91"/>
      <c r="I53" s="165"/>
    </row>
    <row r="54" spans="1:11" ht="18.600000000000001" thickBot="1">
      <c r="A54" s="59"/>
      <c r="B54" s="189"/>
      <c r="C54" s="91"/>
      <c r="D54" s="91" t="s">
        <v>112</v>
      </c>
      <c r="E54" s="91"/>
      <c r="F54" s="99" t="s">
        <v>113</v>
      </c>
      <c r="G54" s="96"/>
      <c r="I54" s="165"/>
    </row>
    <row r="55" spans="1:11" ht="19.2" thickTop="1" thickBot="1">
      <c r="A55" s="59"/>
      <c r="B55" s="189"/>
      <c r="C55" s="90" t="s">
        <v>108</v>
      </c>
      <c r="D55" s="306"/>
      <c r="E55" s="91" t="s">
        <v>119</v>
      </c>
      <c r="F55" s="96">
        <f>ROUNDUP(D55/3,0)</f>
        <v>0</v>
      </c>
      <c r="G55" s="96" t="s">
        <v>331</v>
      </c>
      <c r="I55" s="165"/>
    </row>
    <row r="56" spans="1:11" ht="19.2" thickTop="1" thickBot="1">
      <c r="A56" s="59"/>
      <c r="B56" s="189"/>
      <c r="C56" s="90" t="s">
        <v>109</v>
      </c>
      <c r="D56" s="306"/>
      <c r="E56" s="91" t="s">
        <v>119</v>
      </c>
      <c r="F56" s="96">
        <f>ROUNDUP(D56/3,0)</f>
        <v>0</v>
      </c>
      <c r="G56" s="96" t="s">
        <v>331</v>
      </c>
      <c r="I56" s="165"/>
    </row>
    <row r="57" spans="1:11" ht="19.2" thickTop="1" thickBot="1">
      <c r="A57" s="59"/>
      <c r="B57" s="189"/>
      <c r="C57" s="90" t="s">
        <v>110</v>
      </c>
      <c r="D57" s="306"/>
      <c r="E57" s="91" t="s">
        <v>119</v>
      </c>
      <c r="F57" s="96">
        <f>D57</f>
        <v>0</v>
      </c>
      <c r="G57" s="96" t="s">
        <v>6</v>
      </c>
      <c r="I57" s="165"/>
    </row>
    <row r="58" spans="1:11" ht="18.600000000000001" thickTop="1">
      <c r="A58" s="59"/>
      <c r="B58" s="189"/>
      <c r="C58" s="91"/>
      <c r="D58" s="91"/>
      <c r="E58" s="98" t="s">
        <v>114</v>
      </c>
      <c r="F58" s="96">
        <f>SUM(F55,F56,F57)</f>
        <v>0</v>
      </c>
      <c r="G58" s="96" t="s">
        <v>6</v>
      </c>
      <c r="I58" s="165"/>
    </row>
    <row r="59" spans="1:11">
      <c r="A59" s="59"/>
      <c r="B59" s="189"/>
      <c r="C59" s="91"/>
      <c r="D59" s="91"/>
      <c r="E59" s="100" t="s">
        <v>90</v>
      </c>
      <c r="F59" s="97">
        <f>ROUNDDOWN(F58/12,0)</f>
        <v>0</v>
      </c>
      <c r="G59" s="97" t="s">
        <v>4</v>
      </c>
      <c r="I59" s="165"/>
    </row>
    <row r="60" spans="1:11">
      <c r="A60" s="59"/>
      <c r="B60" s="189"/>
      <c r="C60" s="91"/>
      <c r="D60" s="91"/>
      <c r="E60" s="91"/>
      <c r="F60" s="97">
        <f>MOD(F58,12)</f>
        <v>0</v>
      </c>
      <c r="G60" s="97" t="s">
        <v>6</v>
      </c>
      <c r="I60" s="165"/>
    </row>
    <row r="61" spans="1:11" ht="7.2" customHeight="1">
      <c r="A61" s="59"/>
      <c r="B61" s="189"/>
      <c r="I61" s="165"/>
    </row>
    <row r="62" spans="1:11">
      <c r="A62" s="59"/>
      <c r="B62" s="189"/>
      <c r="C62" s="190" t="s">
        <v>264</v>
      </c>
      <c r="I62" s="165"/>
    </row>
    <row r="63" spans="1:11">
      <c r="A63" s="59"/>
      <c r="B63" s="189"/>
      <c r="C63" s="75">
        <f>VLOOKUP(C51,支給率!A8:D52,D17,FALSE)</f>
        <v>43.816949999999999</v>
      </c>
      <c r="I63" s="165"/>
    </row>
    <row r="64" spans="1:11">
      <c r="A64" s="59"/>
      <c r="B64" s="189"/>
      <c r="I64" s="165"/>
    </row>
    <row r="65" spans="1:9" ht="19.8">
      <c r="A65" s="59"/>
      <c r="B65" s="189"/>
      <c r="C65" s="162" t="s">
        <v>253</v>
      </c>
      <c r="I65" s="165"/>
    </row>
    <row r="66" spans="1:9" ht="19.8">
      <c r="A66" s="59"/>
      <c r="B66" s="189"/>
      <c r="C66" s="174">
        <f>C13</f>
        <v>315640</v>
      </c>
      <c r="D66" t="s">
        <v>83</v>
      </c>
      <c r="I66" s="165"/>
    </row>
    <row r="67" spans="1:9">
      <c r="A67" s="59"/>
      <c r="B67" s="189"/>
      <c r="I67" s="165"/>
    </row>
    <row r="68" spans="1:9" ht="19.8">
      <c r="A68" s="59"/>
      <c r="B68" s="189"/>
      <c r="C68" s="162" t="s">
        <v>254</v>
      </c>
      <c r="I68" s="165"/>
    </row>
    <row r="69" spans="1:9">
      <c r="A69" s="59"/>
      <c r="B69" s="189"/>
      <c r="C69" s="176">
        <f>C35</f>
        <v>45.323549999999997</v>
      </c>
      <c r="I69" s="165"/>
    </row>
    <row r="70" spans="1:9" ht="11.25" customHeight="1">
      <c r="A70" s="59"/>
      <c r="B70" s="189"/>
    </row>
    <row r="71" spans="1:9" ht="27.6">
      <c r="A71" s="59"/>
      <c r="B71" s="193" t="s">
        <v>273</v>
      </c>
      <c r="C71" s="179" t="s">
        <v>251</v>
      </c>
      <c r="D71" s="182"/>
      <c r="E71" s="181" t="s">
        <v>252</v>
      </c>
    </row>
    <row r="72" spans="1:9" ht="22.2">
      <c r="A72" s="59"/>
      <c r="B72" s="187" t="s">
        <v>265</v>
      </c>
      <c r="C72" s="194">
        <f>C46</f>
        <v>0</v>
      </c>
      <c r="D72" s="184" t="s">
        <v>269</v>
      </c>
      <c r="E72" s="66">
        <f>C63</f>
        <v>43.816949999999999</v>
      </c>
    </row>
    <row r="73" spans="1:9" ht="27.6">
      <c r="A73" s="59"/>
      <c r="B73" s="189"/>
      <c r="C73" s="180" t="s">
        <v>253</v>
      </c>
      <c r="D73" s="179"/>
      <c r="E73" s="181" t="s">
        <v>254</v>
      </c>
      <c r="F73" s="182"/>
      <c r="G73" s="181" t="s">
        <v>252</v>
      </c>
      <c r="H73" s="178"/>
    </row>
    <row r="74" spans="1:9">
      <c r="A74" s="59"/>
      <c r="B74" s="192" t="s">
        <v>89</v>
      </c>
      <c r="C74" s="185">
        <f>C66</f>
        <v>315640</v>
      </c>
      <c r="D74" s="184" t="s">
        <v>270</v>
      </c>
      <c r="E74" s="66">
        <f>C69</f>
        <v>45.323549999999997</v>
      </c>
      <c r="F74" s="40" t="s">
        <v>266</v>
      </c>
      <c r="G74" s="66">
        <f>C63</f>
        <v>43.816949999999999</v>
      </c>
      <c r="H74" t="s">
        <v>267</v>
      </c>
    </row>
    <row r="75" spans="1:9" ht="23.7" customHeight="1">
      <c r="A75" s="59"/>
      <c r="B75" s="192"/>
      <c r="C75" s="183" t="s">
        <v>271</v>
      </c>
      <c r="D75" s="38"/>
      <c r="H75" s="40"/>
    </row>
    <row r="76" spans="1:9">
      <c r="A76" s="59"/>
      <c r="B76" s="192" t="s">
        <v>268</v>
      </c>
      <c r="C76" s="188" t="e">
        <f>ROUNDDOWN(IF(C46=0,"ー",C72*E72+C74*(E74-G74)),0)</f>
        <v>#VALUE!</v>
      </c>
      <c r="D76" s="186" t="s">
        <v>317</v>
      </c>
      <c r="H76" s="40"/>
    </row>
    <row r="78" spans="1:9" ht="28.8">
      <c r="A78" s="56"/>
      <c r="B78" s="57" t="s">
        <v>20</v>
      </c>
      <c r="C78" s="56"/>
      <c r="D78" s="361" t="s">
        <v>103</v>
      </c>
    </row>
    <row r="79" spans="1:9">
      <c r="A79" s="56"/>
      <c r="C79" s="44" t="s">
        <v>95</v>
      </c>
    </row>
    <row r="80" spans="1:9" ht="18.600000000000001" thickBot="1">
      <c r="A80" s="56"/>
      <c r="C80" s="40" t="s">
        <v>81</v>
      </c>
      <c r="E80" s="40" t="s">
        <v>82</v>
      </c>
    </row>
    <row r="81" spans="1:16" ht="19.2" thickTop="1" thickBot="1">
      <c r="A81" s="56"/>
      <c r="B81" s="43" t="s">
        <v>91</v>
      </c>
      <c r="C81" s="307">
        <v>7</v>
      </c>
      <c r="E81" s="308">
        <v>60</v>
      </c>
      <c r="F81" t="s">
        <v>84</v>
      </c>
      <c r="G81" t="s">
        <v>85</v>
      </c>
      <c r="P81" s="45">
        <v>1</v>
      </c>
    </row>
    <row r="82" spans="1:16" ht="18.600000000000001" thickTop="1">
      <c r="A82" s="56"/>
      <c r="C82" s="9">
        <f>IF(C81="","",VLOOKUP(C81,調整額適用表シート!$A$7:$B$25,2,FALSE))</f>
        <v>27100</v>
      </c>
      <c r="D82" t="s">
        <v>269</v>
      </c>
      <c r="E82" s="191">
        <f>IF(E81&gt;60,60,E81)</f>
        <v>60</v>
      </c>
      <c r="F82" s="191" t="s">
        <v>272</v>
      </c>
      <c r="G82" s="9">
        <f>IF(C81="","",C82*E82)</f>
        <v>1626000</v>
      </c>
      <c r="H82" t="s">
        <v>83</v>
      </c>
      <c r="P82" s="46">
        <v>2</v>
      </c>
    </row>
    <row r="83" spans="1:16" ht="19.8">
      <c r="A83" s="56"/>
      <c r="G83" s="41" t="s">
        <v>89</v>
      </c>
      <c r="P83" s="47">
        <v>3</v>
      </c>
    </row>
    <row r="84" spans="1:16" ht="18.600000000000001" thickBot="1">
      <c r="A84" s="56"/>
      <c r="C84" t="s">
        <v>81</v>
      </c>
      <c r="E84" t="s">
        <v>82</v>
      </c>
      <c r="P84" s="48">
        <v>4</v>
      </c>
    </row>
    <row r="85" spans="1:16" ht="19.2" thickTop="1" thickBot="1">
      <c r="A85" s="56"/>
      <c r="B85" s="43" t="s">
        <v>92</v>
      </c>
      <c r="C85" s="307"/>
      <c r="E85" s="308"/>
      <c r="F85" t="s">
        <v>84</v>
      </c>
      <c r="G85" t="s">
        <v>86</v>
      </c>
      <c r="P85" s="49">
        <v>5</v>
      </c>
    </row>
    <row r="86" spans="1:16" ht="18.600000000000001" thickTop="1">
      <c r="A86" s="56"/>
      <c r="C86" s="9" t="str">
        <f>IF(C85="","",VLOOKUP(C85,調整額適用表シート!$A$7:$B$25,2,FALSE))</f>
        <v/>
      </c>
      <c r="D86" t="s">
        <v>269</v>
      </c>
      <c r="E86" s="191">
        <f>IF(E82+E85&gt;60,60-E82,E85)</f>
        <v>0</v>
      </c>
      <c r="F86" s="191" t="s">
        <v>272</v>
      </c>
      <c r="G86" s="9" t="str">
        <f>IF(C85="","",C86*E86)</f>
        <v/>
      </c>
      <c r="H86" t="s">
        <v>83</v>
      </c>
      <c r="P86" s="50">
        <v>6</v>
      </c>
    </row>
    <row r="87" spans="1:16" ht="19.8">
      <c r="A87" s="56"/>
      <c r="G87" s="41" t="s">
        <v>89</v>
      </c>
      <c r="P87" s="51">
        <v>7</v>
      </c>
    </row>
    <row r="88" spans="1:16" ht="18.600000000000001" thickBot="1">
      <c r="A88" s="56"/>
      <c r="C88" t="s">
        <v>81</v>
      </c>
      <c r="E88" t="s">
        <v>82</v>
      </c>
      <c r="P88" s="52">
        <v>8</v>
      </c>
    </row>
    <row r="89" spans="1:16" ht="19.2" thickTop="1" thickBot="1">
      <c r="A89" s="56"/>
      <c r="B89" s="43" t="s">
        <v>93</v>
      </c>
      <c r="C89" s="307"/>
      <c r="E89" s="308"/>
      <c r="F89" t="s">
        <v>84</v>
      </c>
      <c r="G89" t="s">
        <v>87</v>
      </c>
      <c r="P89" s="54">
        <v>9</v>
      </c>
    </row>
    <row r="90" spans="1:16" ht="18.600000000000001" thickTop="1">
      <c r="A90" s="56"/>
      <c r="C90" s="9" t="str">
        <f>IF(C89="","",VLOOKUP(C89,調整額適用表シート!$A$7:$B$25,2,FALSE))</f>
        <v/>
      </c>
      <c r="D90" t="s">
        <v>269</v>
      </c>
      <c r="E90" s="191">
        <f>IF(E82+E86+E89&gt;60,60-E82-E86,E89)</f>
        <v>0</v>
      </c>
      <c r="F90" s="191" t="s">
        <v>272</v>
      </c>
      <c r="G90" s="9" t="str">
        <f>IF(C89="","",C90*E90)</f>
        <v/>
      </c>
      <c r="H90" t="s">
        <v>83</v>
      </c>
    </row>
    <row r="91" spans="1:16" ht="21">
      <c r="A91" s="56"/>
      <c r="G91" s="42" t="s">
        <v>90</v>
      </c>
    </row>
    <row r="92" spans="1:16">
      <c r="A92" s="56"/>
      <c r="G92" s="64" t="s">
        <v>98</v>
      </c>
    </row>
    <row r="93" spans="1:16">
      <c r="A93" s="56"/>
      <c r="D93" s="38" t="s">
        <v>105</v>
      </c>
      <c r="E93">
        <f>SUM(E82,E86,E90)</f>
        <v>60</v>
      </c>
      <c r="F93" t="s">
        <v>88</v>
      </c>
      <c r="G93" s="65">
        <f>SUM(G82,G86,G90)</f>
        <v>1626000</v>
      </c>
      <c r="H93" s="66" t="s">
        <v>83</v>
      </c>
    </row>
    <row r="95" spans="1:16" ht="18.600000000000001" thickBot="1"/>
    <row r="96" spans="1:16" ht="33.6" thickTop="1" thickBot="1">
      <c r="B96" s="55" t="s">
        <v>97</v>
      </c>
      <c r="D96" s="362">
        <f>IF(C46=0,G38+G93,C76+G93)</f>
        <v>15931925</v>
      </c>
      <c r="E96" s="363"/>
      <c r="F96" s="105" t="s">
        <v>121</v>
      </c>
    </row>
    <row r="97" spans="1:7" ht="18.600000000000001" thickTop="1"/>
    <row r="99" spans="1:7">
      <c r="A99" s="130"/>
      <c r="B99" s="129" t="s">
        <v>311</v>
      </c>
      <c r="C99" s="130"/>
      <c r="D99" s="130"/>
      <c r="E99" s="130"/>
      <c r="F99" s="130"/>
    </row>
    <row r="100" spans="1:7">
      <c r="A100" s="130"/>
      <c r="B100" s="130"/>
      <c r="C100" s="130"/>
      <c r="D100" s="131" t="s">
        <v>209</v>
      </c>
      <c r="E100" s="302">
        <f>税額計算!AE30</f>
        <v>0</v>
      </c>
      <c r="F100" s="130" t="s">
        <v>128</v>
      </c>
    </row>
    <row r="101" spans="1:7">
      <c r="A101" s="130"/>
      <c r="B101" s="130"/>
      <c r="C101" s="130"/>
      <c r="D101" s="131" t="s">
        <v>210</v>
      </c>
      <c r="E101" s="302">
        <f>税額計算!AE42</f>
        <v>0</v>
      </c>
      <c r="F101" s="130" t="s">
        <v>128</v>
      </c>
      <c r="G101" s="213" t="s">
        <v>213</v>
      </c>
    </row>
    <row r="102" spans="1:7" ht="18.600000000000001" thickBot="1">
      <c r="A102" s="130"/>
      <c r="B102" s="130"/>
      <c r="C102" s="130"/>
      <c r="D102" s="131" t="s">
        <v>211</v>
      </c>
      <c r="E102" s="302">
        <f>税額計算!AE47</f>
        <v>0</v>
      </c>
      <c r="F102" s="130" t="s">
        <v>128</v>
      </c>
    </row>
    <row r="103" spans="1:7" ht="19.2" thickTop="1" thickBot="1">
      <c r="A103" s="130"/>
      <c r="B103" s="130"/>
      <c r="C103" s="130"/>
      <c r="D103" s="131" t="s">
        <v>215</v>
      </c>
      <c r="E103" s="303">
        <v>0</v>
      </c>
      <c r="F103" s="130" t="s">
        <v>128</v>
      </c>
      <c r="G103" t="s">
        <v>214</v>
      </c>
    </row>
    <row r="104" spans="1:7" ht="20.399999999999999" thickTop="1">
      <c r="A104" s="130"/>
      <c r="B104" s="130"/>
      <c r="C104" s="130"/>
      <c r="D104" s="132" t="s">
        <v>212</v>
      </c>
      <c r="E104" s="134">
        <f>SUM(E100:E103)</f>
        <v>0</v>
      </c>
      <c r="F104" s="133" t="s">
        <v>128</v>
      </c>
    </row>
  </sheetData>
  <sheetProtection password="B7CF" sheet="1"/>
  <mergeCells count="3">
    <mergeCell ref="D96:E96"/>
    <mergeCell ref="D40:J40"/>
    <mergeCell ref="E34:K35"/>
  </mergeCells>
  <phoneticPr fontId="4"/>
  <conditionalFormatting sqref="K50">
    <cfRule type="expression" dxfId="5" priority="8">
      <formula>$C$46=0</formula>
    </cfRule>
  </conditionalFormatting>
  <conditionalFormatting sqref="D55:D57">
    <cfRule type="expression" dxfId="4" priority="7">
      <formula>$C$46=0</formula>
    </cfRule>
  </conditionalFormatting>
  <conditionalFormatting sqref="C90">
    <cfRule type="cellIs" dxfId="3" priority="3" operator="equal">
      <formula>""</formula>
    </cfRule>
    <cfRule type="cellIs" dxfId="2" priority="5" operator="greaterThan">
      <formula>C86</formula>
    </cfRule>
  </conditionalFormatting>
  <conditionalFormatting sqref="C86">
    <cfRule type="cellIs" dxfId="1" priority="1" operator="equal">
      <formula>""</formula>
    </cfRule>
    <cfRule type="cellIs" dxfId="0" priority="2" operator="greaterThan">
      <formula>C82</formula>
    </cfRule>
  </conditionalFormatting>
  <dataValidations count="2">
    <dataValidation type="list" allowBlank="1" showInputMessage="1" showErrorMessage="1" prompt="上から金額の大きい区分順に入力してください。" sqref="C81 C89 C85">
      <formula1>$P$81:$P$89</formula1>
    </dataValidation>
    <dataValidation type="list" allowBlank="1" showInputMessage="1" showErrorMessage="1" sqref="C17">
      <formula1>$P$14:$P$20</formula1>
    </dataValidation>
  </dataValidations>
  <hyperlinks>
    <hyperlink ref="D78" location="調整額適用表!A1" display="調整額適用表シートを参照して、ご自身の給料発令履歴と照合の上「調整月額（区分）」と「月数」を入力してください。"/>
    <hyperlink ref="D15" location="支給率!A1" display="「支給率」シートを参照"/>
    <hyperlink ref="G101" location="税額計算!A1" display="「税額計算」シート参照"/>
    <hyperlink ref="E53" location="簡易試算シート!C22" display="上記に入力した除算期間のうち、ピーク時までに該当する期間"/>
    <hyperlink ref="K40" location="ピーク時特例!A1" display="参考「ピーク時特例」シート"/>
    <hyperlink ref="B8" location="簡易試算シート!D96" display="退職手当額　＝"/>
    <hyperlink ref="L8" location="簡易試算シート!B78" display="②調整額"/>
  </hyperlinks>
  <pageMargins left="0.70866141732283472" right="0.70866141732283472" top="0.74803149606299213" bottom="0.74803149606299213" header="0.31496062992125984" footer="0.31496062992125984"/>
  <pageSetup paperSize="9" scale="69" fitToHeight="3"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C77"/>
  <sheetViews>
    <sheetView workbookViewId="0">
      <selection activeCell="W6" sqref="W6"/>
    </sheetView>
  </sheetViews>
  <sheetFormatPr defaultRowHeight="18"/>
  <cols>
    <col min="1" max="1" width="5.296875" style="318" customWidth="1"/>
    <col min="2" max="2" width="8.296875" style="318" customWidth="1"/>
    <col min="3" max="3" width="6" style="318" customWidth="1"/>
    <col min="4" max="4" width="9.5" style="318" customWidth="1"/>
    <col min="5" max="5" width="4" style="318" customWidth="1"/>
    <col min="6" max="6" width="8.59765625" style="318" bestFit="1" customWidth="1"/>
    <col min="7" max="7" width="9.3984375" style="318" bestFit="1" customWidth="1"/>
    <col min="8" max="8" width="10.3984375" style="318" bestFit="1" customWidth="1"/>
    <col min="9" max="9" width="6.796875" style="318" bestFit="1" customWidth="1"/>
    <col min="10" max="20" width="2.3984375" style="318" hidden="1" customWidth="1"/>
    <col min="21" max="21" width="5" style="318" bestFit="1" customWidth="1"/>
    <col min="22" max="22" width="15.19921875" style="318" customWidth="1"/>
    <col min="23" max="23" width="13.796875" style="318" customWidth="1"/>
    <col min="24" max="24" width="12.09765625" style="318" customWidth="1"/>
    <col min="25" max="25" width="6.69921875" style="318" hidden="1" customWidth="1"/>
    <col min="26" max="26" width="9.19921875" style="318" hidden="1" customWidth="1"/>
    <col min="27" max="28" width="8.796875" style="318" hidden="1" customWidth="1"/>
    <col min="29" max="29" width="14.09765625" style="318" customWidth="1"/>
    <col min="30" max="16384" width="8.796875" style="318"/>
  </cols>
  <sheetData>
    <row r="1" spans="1:29" ht="31.8" customHeight="1">
      <c r="A1" s="317" t="s">
        <v>333</v>
      </c>
    </row>
    <row r="2" spans="1:29" ht="40.200000000000003" customHeight="1">
      <c r="A2" s="317"/>
      <c r="D2" s="319" t="s">
        <v>334</v>
      </c>
    </row>
    <row r="3" spans="1:29" ht="40.200000000000003" customHeight="1">
      <c r="A3" s="317"/>
      <c r="D3" s="319"/>
    </row>
    <row r="4" spans="1:29" ht="21.6" customHeight="1">
      <c r="A4" s="320" t="s">
        <v>335</v>
      </c>
      <c r="B4" s="320" t="s">
        <v>336</v>
      </c>
      <c r="C4" s="320" t="s">
        <v>337</v>
      </c>
      <c r="D4" s="320" t="s">
        <v>338</v>
      </c>
      <c r="E4" s="320" t="s">
        <v>337</v>
      </c>
      <c r="F4" s="321" t="s">
        <v>339</v>
      </c>
      <c r="G4" s="321" t="s">
        <v>340</v>
      </c>
      <c r="H4" s="321" t="s">
        <v>341</v>
      </c>
      <c r="I4" s="320" t="s">
        <v>342</v>
      </c>
      <c r="J4" s="318">
        <v>3</v>
      </c>
      <c r="K4" s="318">
        <v>4</v>
      </c>
      <c r="L4" s="318">
        <v>5</v>
      </c>
      <c r="M4" s="318">
        <v>5</v>
      </c>
      <c r="N4" s="318">
        <v>6</v>
      </c>
      <c r="O4" s="318">
        <v>6</v>
      </c>
      <c r="P4" s="318">
        <v>6</v>
      </c>
      <c r="Q4" s="318">
        <v>7</v>
      </c>
      <c r="R4" s="318">
        <v>7</v>
      </c>
      <c r="S4" s="318">
        <v>8</v>
      </c>
      <c r="T4" s="318">
        <v>8</v>
      </c>
      <c r="Z4" s="322"/>
    </row>
    <row r="5" spans="1:29" ht="21.6" hidden="1" customHeight="1">
      <c r="A5" s="350"/>
      <c r="B5" s="350"/>
      <c r="C5" s="350"/>
      <c r="D5" s="350">
        <f>W9</f>
        <v>33</v>
      </c>
      <c r="E5" s="350">
        <f>W10</f>
        <v>0</v>
      </c>
      <c r="F5" s="350"/>
      <c r="G5" s="350"/>
      <c r="H5" s="350"/>
      <c r="I5" s="350"/>
      <c r="Z5" s="322"/>
    </row>
    <row r="6" spans="1:29" ht="22.2">
      <c r="A6" s="323">
        <v>1</v>
      </c>
      <c r="B6" s="323">
        <f>YEAR(Y7)</f>
        <v>2025</v>
      </c>
      <c r="C6" s="323">
        <f>MONTH(EDATE(Y7,-1))</f>
        <v>3</v>
      </c>
      <c r="D6" s="323">
        <f>IF(E5=0,D5-1,D5)</f>
        <v>32</v>
      </c>
      <c r="E6" s="323">
        <f>IF(W10=0,11,W10-1)</f>
        <v>11</v>
      </c>
      <c r="F6" s="348">
        <v>2</v>
      </c>
      <c r="G6" s="348">
        <v>10</v>
      </c>
      <c r="H6" s="348"/>
      <c r="I6" s="324">
        <f>MAX(J6:T6)</f>
        <v>7</v>
      </c>
      <c r="J6" s="318">
        <f>IF(AND(F6=4,G6=20),3,0)</f>
        <v>0</v>
      </c>
      <c r="K6" s="318">
        <f>IF(AND(F6=4,G6=15,H6&gt;=14),4,0)</f>
        <v>0</v>
      </c>
      <c r="L6" s="318">
        <f>IF(AND(F6=4,OR(AND(G6=15,H6&gt;=14,K6=0),AND(G6=15,H6&lt;=14,K6=0))),5,0)</f>
        <v>0</v>
      </c>
      <c r="M6" s="318">
        <f>IF(AND(F6=3,G6=15),5,0)</f>
        <v>0</v>
      </c>
      <c r="N6" s="318">
        <f>IF(AND(F6=3,M6=0),6,0)</f>
        <v>0</v>
      </c>
      <c r="O6" s="318">
        <f>IF(OR(AND($Z$12=1,F7="特2",D7&gt;=26),AND($Z$12=2,F7="特2",D7&gt;=28),AND($Z$12=3,F7="特2",D7&gt;=30)),6,0)</f>
        <v>0</v>
      </c>
      <c r="P6" s="318">
        <f>IF(OR(AND($Z$12=1,F6=2,G6=10,D6&gt;=35),AND($Z$12=2,F6=2,G6=10,D6&gt;=37),AND($Z$12=33,F6=2,G6=10,D6&gt;=39)),6,0)</f>
        <v>0</v>
      </c>
      <c r="Q6" s="318">
        <f>IF(AND(F6="特2",O6=0),7,0)</f>
        <v>0</v>
      </c>
      <c r="R6" s="318">
        <f>IF(OR(AND($Z$12=1,F6=2,G6=10,D6&gt;=26,D6&lt;35),AND($Z$12=2,F6=2,G6=10,D6&gt;=28,D6&lt;37),AND($Z$12=3,F6=2,G6=10,D6&gt;=30,D6&lt;39)),7,0)</f>
        <v>7</v>
      </c>
      <c r="S6" s="318">
        <f>IF(OR(AND($Z$12=1,F6=2,G6=5,D6&gt;=9,D6&lt;26),AND($Z$12=2,F6=2,G6=5,D6&gt;=11,D6&lt;28),AND($Z$12=3,F6=2,G6=5,D6&gt;=13,D6&lt;30)),8,0)</f>
        <v>0</v>
      </c>
      <c r="T6" s="318">
        <f>IF(OR(AND($Z$12=1,F6=1,G6=5,D6&gt;=14),AND($Z$12=2,F6=1,G6=5,D6&gt;=16),,AND($Z$12=3,F6=1,G6=5,D6&gt;=18)),8,0)</f>
        <v>0</v>
      </c>
      <c r="V6" s="325" t="s">
        <v>343</v>
      </c>
      <c r="W6" s="345">
        <v>33695</v>
      </c>
      <c r="Y6" s="322">
        <f>W6</f>
        <v>33695</v>
      </c>
      <c r="Z6" s="322"/>
      <c r="AA6" s="318">
        <v>4</v>
      </c>
    </row>
    <row r="7" spans="1:29" ht="22.2">
      <c r="A7" s="323">
        <v>2</v>
      </c>
      <c r="B7" s="323">
        <f>IF(C7=12,B6-1,B6)</f>
        <v>2025</v>
      </c>
      <c r="C7" s="323">
        <f>IF(C6=1,12,C6-1)</f>
        <v>2</v>
      </c>
      <c r="D7" s="323">
        <f>IF(E6=0,D6-1,D6)</f>
        <v>32</v>
      </c>
      <c r="E7" s="323">
        <f>IF(E6=0,11,E6-1)</f>
        <v>10</v>
      </c>
      <c r="F7" s="348">
        <v>2</v>
      </c>
      <c r="G7" s="348">
        <v>10</v>
      </c>
      <c r="H7" s="348"/>
      <c r="I7" s="324">
        <f t="shared" ref="I7:I70" si="0">MAX(J7:T7)</f>
        <v>7</v>
      </c>
      <c r="J7" s="318">
        <f t="shared" ref="J7:J70" si="1">IF(AND(F7=4,G7=20),3,0)</f>
        <v>0</v>
      </c>
      <c r="K7" s="318">
        <f t="shared" ref="K7:K70" si="2">IF(AND(F7=4,G7=15,H7&gt;=14),4,0)</f>
        <v>0</v>
      </c>
      <c r="L7" s="318">
        <f t="shared" ref="L7:L70" si="3">IF(AND(F7=4,OR(AND(G7=15,H7&gt;=14,K7=0),AND(G7=15,H7&lt;=14,K7=0))),5,0)</f>
        <v>0</v>
      </c>
      <c r="M7" s="318">
        <f t="shared" ref="M7:M70" si="4">IF(AND(F7=3,G7=15),5,0)</f>
        <v>0</v>
      </c>
      <c r="N7" s="318">
        <f t="shared" ref="N7:N70" si="5">IF(AND(F7=3,M7=0),6,0)</f>
        <v>0</v>
      </c>
      <c r="O7" s="318">
        <f t="shared" ref="O7:O70" si="6">IF(OR(AND($Z$12=1,F8="特2",D8&gt;=26),AND($Z$12=2,F8="特2",D8&gt;=28),AND($Z$12=3,F8="特2",D8&gt;=30)),6,0)</f>
        <v>0</v>
      </c>
      <c r="P7" s="318">
        <f t="shared" ref="P7:P70" si="7">IF(OR(AND($Z$12=1,F7=2,G7=10,D7&gt;=35),AND($Z$12=2,F7=2,G7=10,D7&gt;=37),AND($Z$12=33,F7=2,G7=10,D7&gt;=39)),6,0)</f>
        <v>0</v>
      </c>
      <c r="Q7" s="318">
        <f t="shared" ref="Q7:Q70" si="8">IF(AND(F7="特2",O7=0),7,0)</f>
        <v>0</v>
      </c>
      <c r="R7" s="318">
        <f t="shared" ref="R7:R70" si="9">IF(OR(AND($Z$12=1,F7=2,G7=10,D7&gt;=26,D7&lt;35),AND($Z$12=2,F7=2,G7=10,D7&gt;=28,D7&lt;37),AND($Z$12=3,F7=2,G7=10,D7&gt;=30,D7&lt;39)),7,0)</f>
        <v>7</v>
      </c>
      <c r="S7" s="318">
        <f t="shared" ref="S7:S70" si="10">IF(OR(AND($Z$12=1,F7=2,G7=5,D7&gt;=9,D7&lt;26),AND($Z$12=2,F7=2,G7=5,D7&gt;=11,D7&lt;28),AND($Z$12=3,F7=2,G7=5,D7&gt;=13,D7&lt;30)),8,0)</f>
        <v>0</v>
      </c>
      <c r="T7" s="318">
        <f t="shared" ref="T7:T70" si="11">IF(OR(AND($Z$12=1,F7=1,G7=5,D7&gt;=14),AND($Z$12=2,F7=1,G7=5,D7&gt;=16),,AND($Z$12=3,F7=1,G7=5,D7&gt;=18)),8,0)</f>
        <v>0</v>
      </c>
      <c r="V7" s="325" t="s">
        <v>344</v>
      </c>
      <c r="W7" s="345">
        <v>45747</v>
      </c>
      <c r="Y7" s="322">
        <f>W7+1</f>
        <v>45748</v>
      </c>
      <c r="AA7" s="318">
        <v>3</v>
      </c>
    </row>
    <row r="8" spans="1:29">
      <c r="A8" s="323">
        <v>3</v>
      </c>
      <c r="B8" s="323">
        <f t="shared" ref="B8:B16" si="12">IF(C8=12,B7-1,B7)</f>
        <v>2025</v>
      </c>
      <c r="C8" s="323">
        <f t="shared" ref="C8:C16" si="13">IF(C7=1,12,C7-1)</f>
        <v>1</v>
      </c>
      <c r="D8" s="323">
        <f t="shared" ref="D8:D71" si="14">IF(E7=0,D7-1,D7)</f>
        <v>32</v>
      </c>
      <c r="E8" s="323">
        <f t="shared" ref="E8:E71" si="15">IF(E7=0,11,E7-1)</f>
        <v>9</v>
      </c>
      <c r="F8" s="348">
        <v>2</v>
      </c>
      <c r="G8" s="348">
        <v>10</v>
      </c>
      <c r="H8" s="348"/>
      <c r="I8" s="324">
        <f t="shared" si="0"/>
        <v>7</v>
      </c>
      <c r="J8" s="318">
        <f t="shared" si="1"/>
        <v>0</v>
      </c>
      <c r="K8" s="318">
        <f t="shared" si="2"/>
        <v>0</v>
      </c>
      <c r="L8" s="318">
        <f t="shared" si="3"/>
        <v>0</v>
      </c>
      <c r="M8" s="318">
        <f t="shared" si="4"/>
        <v>0</v>
      </c>
      <c r="N8" s="318">
        <f t="shared" si="5"/>
        <v>0</v>
      </c>
      <c r="O8" s="318">
        <f t="shared" si="6"/>
        <v>0</v>
      </c>
      <c r="P8" s="318">
        <f t="shared" si="7"/>
        <v>0</v>
      </c>
      <c r="Q8" s="318">
        <f t="shared" si="8"/>
        <v>0</v>
      </c>
      <c r="R8" s="318">
        <f t="shared" si="9"/>
        <v>7</v>
      </c>
      <c r="S8" s="318">
        <f t="shared" si="10"/>
        <v>0</v>
      </c>
      <c r="T8" s="318">
        <f t="shared" si="11"/>
        <v>0</v>
      </c>
      <c r="AA8" s="318">
        <v>2</v>
      </c>
    </row>
    <row r="9" spans="1:29" ht="22.2">
      <c r="A9" s="323">
        <v>4</v>
      </c>
      <c r="B9" s="323">
        <f t="shared" si="12"/>
        <v>2024</v>
      </c>
      <c r="C9" s="323">
        <f t="shared" si="13"/>
        <v>12</v>
      </c>
      <c r="D9" s="323">
        <f t="shared" si="14"/>
        <v>32</v>
      </c>
      <c r="E9" s="323">
        <f t="shared" si="15"/>
        <v>8</v>
      </c>
      <c r="F9" s="348">
        <v>2</v>
      </c>
      <c r="G9" s="348">
        <v>10</v>
      </c>
      <c r="H9" s="348"/>
      <c r="I9" s="324">
        <f t="shared" si="0"/>
        <v>7</v>
      </c>
      <c r="J9" s="318">
        <f t="shared" si="1"/>
        <v>0</v>
      </c>
      <c r="K9" s="318">
        <f t="shared" si="2"/>
        <v>0</v>
      </c>
      <c r="L9" s="318">
        <f t="shared" si="3"/>
        <v>0</v>
      </c>
      <c r="M9" s="318">
        <f t="shared" si="4"/>
        <v>0</v>
      </c>
      <c r="N9" s="318">
        <f t="shared" si="5"/>
        <v>0</v>
      </c>
      <c r="O9" s="318">
        <f t="shared" si="6"/>
        <v>0</v>
      </c>
      <c r="P9" s="318">
        <f t="shared" si="7"/>
        <v>0</v>
      </c>
      <c r="Q9" s="318">
        <f t="shared" si="8"/>
        <v>0</v>
      </c>
      <c r="R9" s="318">
        <f t="shared" si="9"/>
        <v>7</v>
      </c>
      <c r="S9" s="318">
        <f t="shared" si="10"/>
        <v>0</v>
      </c>
      <c r="T9" s="318">
        <f t="shared" si="11"/>
        <v>0</v>
      </c>
      <c r="V9" s="325" t="s">
        <v>345</v>
      </c>
      <c r="W9" s="351">
        <f>DATEDIF(Y6,Y7,"Y")</f>
        <v>33</v>
      </c>
      <c r="X9" s="352" t="s">
        <v>365</v>
      </c>
      <c r="AA9" s="318">
        <v>1</v>
      </c>
    </row>
    <row r="10" spans="1:29" ht="22.2">
      <c r="A10" s="323">
        <v>5</v>
      </c>
      <c r="B10" s="323">
        <f t="shared" si="12"/>
        <v>2024</v>
      </c>
      <c r="C10" s="323">
        <f t="shared" si="13"/>
        <v>11</v>
      </c>
      <c r="D10" s="323">
        <f t="shared" si="14"/>
        <v>32</v>
      </c>
      <c r="E10" s="323">
        <f t="shared" si="15"/>
        <v>7</v>
      </c>
      <c r="F10" s="348">
        <v>2</v>
      </c>
      <c r="G10" s="348">
        <v>10</v>
      </c>
      <c r="H10" s="348"/>
      <c r="I10" s="324">
        <f t="shared" si="0"/>
        <v>7</v>
      </c>
      <c r="J10" s="318">
        <f t="shared" si="1"/>
        <v>0</v>
      </c>
      <c r="K10" s="318">
        <f t="shared" si="2"/>
        <v>0</v>
      </c>
      <c r="L10" s="318">
        <f t="shared" si="3"/>
        <v>0</v>
      </c>
      <c r="M10" s="318">
        <f t="shared" si="4"/>
        <v>0</v>
      </c>
      <c r="N10" s="318">
        <f t="shared" si="5"/>
        <v>0</v>
      </c>
      <c r="O10" s="318">
        <f t="shared" si="6"/>
        <v>0</v>
      </c>
      <c r="P10" s="318">
        <f t="shared" si="7"/>
        <v>0</v>
      </c>
      <c r="Q10" s="318">
        <f t="shared" si="8"/>
        <v>0</v>
      </c>
      <c r="R10" s="318">
        <f t="shared" si="9"/>
        <v>7</v>
      </c>
      <c r="S10" s="318">
        <f t="shared" si="10"/>
        <v>0</v>
      </c>
      <c r="T10" s="318">
        <f t="shared" si="11"/>
        <v>0</v>
      </c>
      <c r="V10" s="325" t="s">
        <v>346</v>
      </c>
      <c r="W10" s="351">
        <f>DATEDIF(Y6,Y7,"ym")</f>
        <v>0</v>
      </c>
      <c r="X10" s="352" t="s">
        <v>366</v>
      </c>
    </row>
    <row r="11" spans="1:29">
      <c r="A11" s="323">
        <v>6</v>
      </c>
      <c r="B11" s="323">
        <f t="shared" si="12"/>
        <v>2024</v>
      </c>
      <c r="C11" s="323">
        <f t="shared" si="13"/>
        <v>10</v>
      </c>
      <c r="D11" s="323">
        <f t="shared" si="14"/>
        <v>32</v>
      </c>
      <c r="E11" s="323">
        <f t="shared" si="15"/>
        <v>6</v>
      </c>
      <c r="F11" s="348">
        <v>2</v>
      </c>
      <c r="G11" s="348">
        <v>10</v>
      </c>
      <c r="H11" s="348"/>
      <c r="I11" s="324">
        <f t="shared" si="0"/>
        <v>7</v>
      </c>
      <c r="J11" s="318">
        <f t="shared" si="1"/>
        <v>0</v>
      </c>
      <c r="K11" s="318">
        <f t="shared" si="2"/>
        <v>0</v>
      </c>
      <c r="L11" s="318">
        <f t="shared" si="3"/>
        <v>0</v>
      </c>
      <c r="M11" s="318">
        <f t="shared" si="4"/>
        <v>0</v>
      </c>
      <c r="N11" s="318">
        <f t="shared" si="5"/>
        <v>0</v>
      </c>
      <c r="O11" s="318">
        <f t="shared" si="6"/>
        <v>0</v>
      </c>
      <c r="P11" s="318">
        <f t="shared" si="7"/>
        <v>0</v>
      </c>
      <c r="Q11" s="318">
        <f t="shared" si="8"/>
        <v>0</v>
      </c>
      <c r="R11" s="318">
        <f t="shared" si="9"/>
        <v>7</v>
      </c>
      <c r="S11" s="318">
        <f t="shared" si="10"/>
        <v>0</v>
      </c>
      <c r="T11" s="318">
        <f t="shared" si="11"/>
        <v>0</v>
      </c>
    </row>
    <row r="12" spans="1:29" ht="22.2">
      <c r="A12" s="323">
        <v>7</v>
      </c>
      <c r="B12" s="323">
        <f t="shared" si="12"/>
        <v>2024</v>
      </c>
      <c r="C12" s="323">
        <f t="shared" si="13"/>
        <v>9</v>
      </c>
      <c r="D12" s="323">
        <f t="shared" si="14"/>
        <v>32</v>
      </c>
      <c r="E12" s="323">
        <f t="shared" si="15"/>
        <v>5</v>
      </c>
      <c r="F12" s="348">
        <v>2</v>
      </c>
      <c r="G12" s="348">
        <v>10</v>
      </c>
      <c r="H12" s="348"/>
      <c r="I12" s="324">
        <f t="shared" si="0"/>
        <v>7</v>
      </c>
      <c r="J12" s="318">
        <f t="shared" si="1"/>
        <v>0</v>
      </c>
      <c r="K12" s="318">
        <f t="shared" si="2"/>
        <v>0</v>
      </c>
      <c r="L12" s="318">
        <f t="shared" si="3"/>
        <v>0</v>
      </c>
      <c r="M12" s="318">
        <f t="shared" si="4"/>
        <v>0</v>
      </c>
      <c r="N12" s="318">
        <f t="shared" si="5"/>
        <v>0</v>
      </c>
      <c r="O12" s="318">
        <f t="shared" si="6"/>
        <v>0</v>
      </c>
      <c r="P12" s="318">
        <f t="shared" si="7"/>
        <v>0</v>
      </c>
      <c r="Q12" s="318">
        <f t="shared" si="8"/>
        <v>0</v>
      </c>
      <c r="R12" s="318">
        <f t="shared" si="9"/>
        <v>7</v>
      </c>
      <c r="S12" s="318">
        <f t="shared" si="10"/>
        <v>0</v>
      </c>
      <c r="T12" s="318">
        <f t="shared" si="11"/>
        <v>0</v>
      </c>
      <c r="V12" s="325" t="s">
        <v>347</v>
      </c>
      <c r="W12" s="360" t="s">
        <v>348</v>
      </c>
      <c r="Z12" s="318">
        <f>IF(W12=AA13,1,IF(W12=AA14,2,IF(W12=AA15,3,0)))</f>
        <v>1</v>
      </c>
      <c r="AA12" s="318" t="s">
        <v>349</v>
      </c>
    </row>
    <row r="13" spans="1:29" ht="18.600000000000001" thickBot="1">
      <c r="A13" s="323">
        <v>8</v>
      </c>
      <c r="B13" s="323">
        <f t="shared" si="12"/>
        <v>2024</v>
      </c>
      <c r="C13" s="323">
        <f t="shared" si="13"/>
        <v>8</v>
      </c>
      <c r="D13" s="323">
        <f t="shared" si="14"/>
        <v>32</v>
      </c>
      <c r="E13" s="323">
        <f t="shared" si="15"/>
        <v>4</v>
      </c>
      <c r="F13" s="348">
        <v>2</v>
      </c>
      <c r="G13" s="348">
        <v>10</v>
      </c>
      <c r="H13" s="348"/>
      <c r="I13" s="324">
        <f t="shared" si="0"/>
        <v>7</v>
      </c>
      <c r="J13" s="318">
        <f t="shared" si="1"/>
        <v>0</v>
      </c>
      <c r="K13" s="318">
        <f t="shared" si="2"/>
        <v>0</v>
      </c>
      <c r="L13" s="318">
        <f t="shared" si="3"/>
        <v>0</v>
      </c>
      <c r="M13" s="318">
        <f t="shared" si="4"/>
        <v>0</v>
      </c>
      <c r="N13" s="318">
        <f t="shared" si="5"/>
        <v>0</v>
      </c>
      <c r="O13" s="318">
        <f t="shared" si="6"/>
        <v>0</v>
      </c>
      <c r="P13" s="318">
        <f t="shared" si="7"/>
        <v>0</v>
      </c>
      <c r="Q13" s="318">
        <f t="shared" si="8"/>
        <v>0</v>
      </c>
      <c r="R13" s="318">
        <f t="shared" si="9"/>
        <v>7</v>
      </c>
      <c r="S13" s="318">
        <f t="shared" si="10"/>
        <v>0</v>
      </c>
      <c r="T13" s="318">
        <f t="shared" si="11"/>
        <v>0</v>
      </c>
      <c r="V13" s="326"/>
      <c r="W13" s="327"/>
      <c r="X13" s="327"/>
      <c r="AA13" s="318" t="s">
        <v>348</v>
      </c>
      <c r="AC13" s="328"/>
    </row>
    <row r="14" spans="1:29" ht="23.4" customHeight="1" thickTop="1">
      <c r="A14" s="323">
        <v>9</v>
      </c>
      <c r="B14" s="323">
        <f t="shared" si="12"/>
        <v>2024</v>
      </c>
      <c r="C14" s="323">
        <f t="shared" si="13"/>
        <v>7</v>
      </c>
      <c r="D14" s="323">
        <f t="shared" si="14"/>
        <v>32</v>
      </c>
      <c r="E14" s="323">
        <f t="shared" si="15"/>
        <v>3</v>
      </c>
      <c r="F14" s="348">
        <v>2</v>
      </c>
      <c r="G14" s="348">
        <v>10</v>
      </c>
      <c r="H14" s="348"/>
      <c r="I14" s="324">
        <f t="shared" si="0"/>
        <v>7</v>
      </c>
      <c r="J14" s="318">
        <f t="shared" si="1"/>
        <v>0</v>
      </c>
      <c r="K14" s="318">
        <f t="shared" si="2"/>
        <v>0</v>
      </c>
      <c r="L14" s="318">
        <f t="shared" si="3"/>
        <v>0</v>
      </c>
      <c r="M14" s="318">
        <f t="shared" si="4"/>
        <v>0</v>
      </c>
      <c r="N14" s="318">
        <f t="shared" si="5"/>
        <v>0</v>
      </c>
      <c r="O14" s="318">
        <f t="shared" si="6"/>
        <v>0</v>
      </c>
      <c r="P14" s="318">
        <f t="shared" si="7"/>
        <v>0</v>
      </c>
      <c r="Q14" s="318">
        <f t="shared" si="8"/>
        <v>0</v>
      </c>
      <c r="R14" s="318">
        <f t="shared" si="9"/>
        <v>7</v>
      </c>
      <c r="S14" s="318">
        <f t="shared" si="10"/>
        <v>0</v>
      </c>
      <c r="T14" s="318">
        <f t="shared" si="11"/>
        <v>0</v>
      </c>
      <c r="U14" s="329"/>
      <c r="V14" s="330" t="s">
        <v>350</v>
      </c>
      <c r="W14" s="331" t="s">
        <v>351</v>
      </c>
      <c r="X14" s="332" t="s">
        <v>352</v>
      </c>
      <c r="AA14" s="318" t="s">
        <v>353</v>
      </c>
      <c r="AB14" s="318">
        <v>2</v>
      </c>
      <c r="AC14" s="333" t="s">
        <v>354</v>
      </c>
    </row>
    <row r="15" spans="1:29" ht="19.8">
      <c r="A15" s="323">
        <v>10</v>
      </c>
      <c r="B15" s="323">
        <f t="shared" si="12"/>
        <v>2024</v>
      </c>
      <c r="C15" s="323">
        <f t="shared" si="13"/>
        <v>6</v>
      </c>
      <c r="D15" s="323">
        <f t="shared" si="14"/>
        <v>32</v>
      </c>
      <c r="E15" s="323">
        <f t="shared" si="15"/>
        <v>2</v>
      </c>
      <c r="F15" s="348">
        <v>2</v>
      </c>
      <c r="G15" s="348">
        <v>10</v>
      </c>
      <c r="H15" s="348"/>
      <c r="I15" s="324">
        <f t="shared" si="0"/>
        <v>7</v>
      </c>
      <c r="J15" s="318">
        <f t="shared" si="1"/>
        <v>0</v>
      </c>
      <c r="K15" s="318">
        <f t="shared" si="2"/>
        <v>0</v>
      </c>
      <c r="L15" s="318">
        <f t="shared" si="3"/>
        <v>0</v>
      </c>
      <c r="M15" s="318">
        <f t="shared" si="4"/>
        <v>0</v>
      </c>
      <c r="N15" s="318">
        <f t="shared" si="5"/>
        <v>0</v>
      </c>
      <c r="O15" s="318">
        <f t="shared" si="6"/>
        <v>0</v>
      </c>
      <c r="P15" s="318">
        <f t="shared" si="7"/>
        <v>0</v>
      </c>
      <c r="Q15" s="318">
        <f t="shared" si="8"/>
        <v>0</v>
      </c>
      <c r="R15" s="318">
        <f t="shared" si="9"/>
        <v>7</v>
      </c>
      <c r="S15" s="318">
        <f t="shared" si="10"/>
        <v>0</v>
      </c>
      <c r="T15" s="318">
        <f t="shared" si="11"/>
        <v>0</v>
      </c>
      <c r="U15" s="329"/>
      <c r="V15" s="334" t="s">
        <v>355</v>
      </c>
      <c r="W15" s="335">
        <f>COUNTIF(I6:I65,1)</f>
        <v>0</v>
      </c>
      <c r="X15" s="346"/>
      <c r="AA15" s="318" t="s">
        <v>356</v>
      </c>
      <c r="AB15" s="318">
        <v>4</v>
      </c>
      <c r="AC15" s="336">
        <f>SUM(W15,X15)</f>
        <v>0</v>
      </c>
    </row>
    <row r="16" spans="1:29" ht="19.8">
      <c r="A16" s="323">
        <v>11</v>
      </c>
      <c r="B16" s="323">
        <f t="shared" si="12"/>
        <v>2024</v>
      </c>
      <c r="C16" s="323">
        <f t="shared" si="13"/>
        <v>5</v>
      </c>
      <c r="D16" s="323">
        <f t="shared" si="14"/>
        <v>32</v>
      </c>
      <c r="E16" s="323">
        <f t="shared" si="15"/>
        <v>1</v>
      </c>
      <c r="F16" s="348">
        <v>2</v>
      </c>
      <c r="G16" s="348">
        <v>10</v>
      </c>
      <c r="H16" s="348"/>
      <c r="I16" s="324">
        <f t="shared" si="0"/>
        <v>7</v>
      </c>
      <c r="J16" s="318">
        <f t="shared" si="1"/>
        <v>0</v>
      </c>
      <c r="K16" s="318">
        <f t="shared" si="2"/>
        <v>0</v>
      </c>
      <c r="L16" s="318">
        <f t="shared" si="3"/>
        <v>0</v>
      </c>
      <c r="M16" s="318">
        <f t="shared" si="4"/>
        <v>0</v>
      </c>
      <c r="N16" s="318">
        <f t="shared" si="5"/>
        <v>0</v>
      </c>
      <c r="O16" s="318">
        <f t="shared" si="6"/>
        <v>0</v>
      </c>
      <c r="P16" s="318">
        <f t="shared" si="7"/>
        <v>0</v>
      </c>
      <c r="Q16" s="318">
        <f t="shared" si="8"/>
        <v>0</v>
      </c>
      <c r="R16" s="318">
        <f t="shared" si="9"/>
        <v>7</v>
      </c>
      <c r="S16" s="318">
        <f t="shared" si="10"/>
        <v>0</v>
      </c>
      <c r="T16" s="318">
        <f t="shared" si="11"/>
        <v>0</v>
      </c>
      <c r="U16" s="329"/>
      <c r="V16" s="334" t="s">
        <v>357</v>
      </c>
      <c r="W16" s="335">
        <f>COUNTIF(I6:I65,2)</f>
        <v>0</v>
      </c>
      <c r="X16" s="346"/>
      <c r="AC16" s="336">
        <f t="shared" ref="AC16:AC22" si="16">SUM(W16,X16)</f>
        <v>0</v>
      </c>
    </row>
    <row r="17" spans="1:29" ht="19.8">
      <c r="A17" s="323">
        <v>12</v>
      </c>
      <c r="B17" s="323">
        <f>IF(C17=12,B16-1,B16)</f>
        <v>2024</v>
      </c>
      <c r="C17" s="323">
        <f>IF(C16=1,12,C16-1)</f>
        <v>4</v>
      </c>
      <c r="D17" s="323">
        <f t="shared" si="14"/>
        <v>32</v>
      </c>
      <c r="E17" s="323">
        <f t="shared" si="15"/>
        <v>0</v>
      </c>
      <c r="F17" s="348">
        <v>2</v>
      </c>
      <c r="G17" s="348">
        <v>10</v>
      </c>
      <c r="H17" s="348"/>
      <c r="I17" s="324">
        <f t="shared" si="0"/>
        <v>7</v>
      </c>
      <c r="J17" s="318">
        <f t="shared" si="1"/>
        <v>0</v>
      </c>
      <c r="K17" s="318">
        <f t="shared" si="2"/>
        <v>0</v>
      </c>
      <c r="L17" s="318">
        <f t="shared" si="3"/>
        <v>0</v>
      </c>
      <c r="M17" s="318">
        <f t="shared" si="4"/>
        <v>0</v>
      </c>
      <c r="N17" s="318">
        <f t="shared" si="5"/>
        <v>0</v>
      </c>
      <c r="O17" s="318">
        <f t="shared" si="6"/>
        <v>0</v>
      </c>
      <c r="P17" s="318">
        <f t="shared" si="7"/>
        <v>0</v>
      </c>
      <c r="Q17" s="318">
        <f t="shared" si="8"/>
        <v>0</v>
      </c>
      <c r="R17" s="318">
        <f t="shared" si="9"/>
        <v>7</v>
      </c>
      <c r="S17" s="318">
        <f t="shared" si="10"/>
        <v>0</v>
      </c>
      <c r="T17" s="318">
        <f t="shared" si="11"/>
        <v>0</v>
      </c>
      <c r="U17" s="329"/>
      <c r="V17" s="334" t="s">
        <v>358</v>
      </c>
      <c r="W17" s="335">
        <f>COUNTIF(I6:I65,3)</f>
        <v>0</v>
      </c>
      <c r="X17" s="346"/>
      <c r="AC17" s="336">
        <f t="shared" si="16"/>
        <v>0</v>
      </c>
    </row>
    <row r="18" spans="1:29" ht="19.8">
      <c r="A18" s="323">
        <v>13</v>
      </c>
      <c r="B18" s="323">
        <f t="shared" ref="B18:B77" si="17">IF(C18=12,B17-1,B17)</f>
        <v>2024</v>
      </c>
      <c r="C18" s="323">
        <f t="shared" ref="C18:C77" si="18">IF(C17=1,12,C17-1)</f>
        <v>3</v>
      </c>
      <c r="D18" s="323">
        <f t="shared" si="14"/>
        <v>31</v>
      </c>
      <c r="E18" s="323">
        <f t="shared" si="15"/>
        <v>11</v>
      </c>
      <c r="F18" s="348">
        <v>2</v>
      </c>
      <c r="G18" s="348">
        <v>10</v>
      </c>
      <c r="H18" s="348"/>
      <c r="I18" s="324">
        <f t="shared" si="0"/>
        <v>7</v>
      </c>
      <c r="J18" s="318">
        <f t="shared" si="1"/>
        <v>0</v>
      </c>
      <c r="K18" s="318">
        <f t="shared" si="2"/>
        <v>0</v>
      </c>
      <c r="L18" s="318">
        <f t="shared" si="3"/>
        <v>0</v>
      </c>
      <c r="M18" s="318">
        <f t="shared" si="4"/>
        <v>0</v>
      </c>
      <c r="N18" s="318">
        <f t="shared" si="5"/>
        <v>0</v>
      </c>
      <c r="O18" s="318">
        <f t="shared" si="6"/>
        <v>0</v>
      </c>
      <c r="P18" s="318">
        <f t="shared" si="7"/>
        <v>0</v>
      </c>
      <c r="Q18" s="318">
        <f t="shared" si="8"/>
        <v>0</v>
      </c>
      <c r="R18" s="318">
        <f t="shared" si="9"/>
        <v>7</v>
      </c>
      <c r="S18" s="318">
        <f t="shared" si="10"/>
        <v>0</v>
      </c>
      <c r="T18" s="318">
        <f t="shared" si="11"/>
        <v>0</v>
      </c>
      <c r="U18" s="329"/>
      <c r="V18" s="334" t="s">
        <v>359</v>
      </c>
      <c r="W18" s="335">
        <f>COUNTIF(I6:I65,4)</f>
        <v>0</v>
      </c>
      <c r="X18" s="346"/>
      <c r="AC18" s="336">
        <f t="shared" si="16"/>
        <v>0</v>
      </c>
    </row>
    <row r="19" spans="1:29" ht="19.8">
      <c r="A19" s="323">
        <v>14</v>
      </c>
      <c r="B19" s="323">
        <f t="shared" si="17"/>
        <v>2024</v>
      </c>
      <c r="C19" s="323">
        <f t="shared" si="18"/>
        <v>2</v>
      </c>
      <c r="D19" s="323">
        <f t="shared" si="14"/>
        <v>31</v>
      </c>
      <c r="E19" s="323">
        <f t="shared" si="15"/>
        <v>10</v>
      </c>
      <c r="F19" s="348">
        <v>2</v>
      </c>
      <c r="G19" s="348">
        <v>10</v>
      </c>
      <c r="H19" s="348"/>
      <c r="I19" s="324">
        <f t="shared" si="0"/>
        <v>7</v>
      </c>
      <c r="J19" s="318">
        <f t="shared" si="1"/>
        <v>0</v>
      </c>
      <c r="K19" s="318">
        <f t="shared" si="2"/>
        <v>0</v>
      </c>
      <c r="L19" s="318">
        <f t="shared" si="3"/>
        <v>0</v>
      </c>
      <c r="M19" s="318">
        <f t="shared" si="4"/>
        <v>0</v>
      </c>
      <c r="N19" s="318">
        <f t="shared" si="5"/>
        <v>0</v>
      </c>
      <c r="O19" s="318">
        <f t="shared" si="6"/>
        <v>0</v>
      </c>
      <c r="P19" s="318">
        <f t="shared" si="7"/>
        <v>0</v>
      </c>
      <c r="Q19" s="318">
        <f t="shared" si="8"/>
        <v>0</v>
      </c>
      <c r="R19" s="318">
        <f t="shared" si="9"/>
        <v>7</v>
      </c>
      <c r="S19" s="318">
        <f t="shared" si="10"/>
        <v>0</v>
      </c>
      <c r="T19" s="318">
        <f t="shared" si="11"/>
        <v>0</v>
      </c>
      <c r="U19" s="329"/>
      <c r="V19" s="334" t="s">
        <v>360</v>
      </c>
      <c r="W19" s="335">
        <f>COUNTIF(I6:I65,5)</f>
        <v>0</v>
      </c>
      <c r="X19" s="346"/>
      <c r="AC19" s="336">
        <f t="shared" si="16"/>
        <v>0</v>
      </c>
    </row>
    <row r="20" spans="1:29" ht="19.8">
      <c r="A20" s="323">
        <v>15</v>
      </c>
      <c r="B20" s="323">
        <f t="shared" si="17"/>
        <v>2024</v>
      </c>
      <c r="C20" s="323">
        <f t="shared" si="18"/>
        <v>1</v>
      </c>
      <c r="D20" s="323">
        <f t="shared" si="14"/>
        <v>31</v>
      </c>
      <c r="E20" s="323">
        <f t="shared" si="15"/>
        <v>9</v>
      </c>
      <c r="F20" s="348">
        <v>2</v>
      </c>
      <c r="G20" s="348">
        <v>10</v>
      </c>
      <c r="H20" s="348"/>
      <c r="I20" s="324">
        <f t="shared" si="0"/>
        <v>7</v>
      </c>
      <c r="J20" s="318">
        <f t="shared" si="1"/>
        <v>0</v>
      </c>
      <c r="K20" s="318">
        <f t="shared" si="2"/>
        <v>0</v>
      </c>
      <c r="L20" s="318">
        <f t="shared" si="3"/>
        <v>0</v>
      </c>
      <c r="M20" s="318">
        <f t="shared" si="4"/>
        <v>0</v>
      </c>
      <c r="N20" s="318">
        <f t="shared" si="5"/>
        <v>0</v>
      </c>
      <c r="O20" s="318">
        <f t="shared" si="6"/>
        <v>0</v>
      </c>
      <c r="P20" s="318">
        <f t="shared" si="7"/>
        <v>0</v>
      </c>
      <c r="Q20" s="318">
        <f t="shared" si="8"/>
        <v>0</v>
      </c>
      <c r="R20" s="318">
        <f t="shared" si="9"/>
        <v>7</v>
      </c>
      <c r="S20" s="318">
        <f t="shared" si="10"/>
        <v>0</v>
      </c>
      <c r="T20" s="318">
        <f t="shared" si="11"/>
        <v>0</v>
      </c>
      <c r="U20" s="329"/>
      <c r="V20" s="334" t="s">
        <v>361</v>
      </c>
      <c r="W20" s="335">
        <f>COUNTIF(I6:I65,6)</f>
        <v>0</v>
      </c>
      <c r="X20" s="346"/>
      <c r="AC20" s="336">
        <f t="shared" si="16"/>
        <v>0</v>
      </c>
    </row>
    <row r="21" spans="1:29" ht="19.8">
      <c r="A21" s="323">
        <v>16</v>
      </c>
      <c r="B21" s="323">
        <f t="shared" si="17"/>
        <v>2023</v>
      </c>
      <c r="C21" s="323">
        <f t="shared" si="18"/>
        <v>12</v>
      </c>
      <c r="D21" s="323">
        <f t="shared" si="14"/>
        <v>31</v>
      </c>
      <c r="E21" s="323">
        <f t="shared" si="15"/>
        <v>8</v>
      </c>
      <c r="F21" s="348">
        <v>2</v>
      </c>
      <c r="G21" s="348">
        <v>10</v>
      </c>
      <c r="H21" s="348"/>
      <c r="I21" s="324">
        <f t="shared" si="0"/>
        <v>7</v>
      </c>
      <c r="J21" s="318">
        <f t="shared" si="1"/>
        <v>0</v>
      </c>
      <c r="K21" s="318">
        <f t="shared" si="2"/>
        <v>0</v>
      </c>
      <c r="L21" s="318">
        <f t="shared" si="3"/>
        <v>0</v>
      </c>
      <c r="M21" s="318">
        <f t="shared" si="4"/>
        <v>0</v>
      </c>
      <c r="N21" s="318">
        <f t="shared" si="5"/>
        <v>0</v>
      </c>
      <c r="O21" s="318">
        <f t="shared" si="6"/>
        <v>0</v>
      </c>
      <c r="P21" s="318">
        <f t="shared" si="7"/>
        <v>0</v>
      </c>
      <c r="Q21" s="318">
        <f t="shared" si="8"/>
        <v>0</v>
      </c>
      <c r="R21" s="318">
        <f t="shared" si="9"/>
        <v>7</v>
      </c>
      <c r="S21" s="318">
        <f t="shared" si="10"/>
        <v>0</v>
      </c>
      <c r="T21" s="318">
        <f t="shared" si="11"/>
        <v>0</v>
      </c>
      <c r="U21" s="329"/>
      <c r="V21" s="334" t="s">
        <v>362</v>
      </c>
      <c r="W21" s="335">
        <f>COUNTIF(I6:I65,7)</f>
        <v>60</v>
      </c>
      <c r="X21" s="346"/>
      <c r="AC21" s="336">
        <f t="shared" si="16"/>
        <v>60</v>
      </c>
    </row>
    <row r="22" spans="1:29" ht="20.399999999999999" thickBot="1">
      <c r="A22" s="323">
        <v>17</v>
      </c>
      <c r="B22" s="323">
        <f t="shared" si="17"/>
        <v>2023</v>
      </c>
      <c r="C22" s="323">
        <f t="shared" si="18"/>
        <v>11</v>
      </c>
      <c r="D22" s="323">
        <f t="shared" si="14"/>
        <v>31</v>
      </c>
      <c r="E22" s="323">
        <f t="shared" si="15"/>
        <v>7</v>
      </c>
      <c r="F22" s="348">
        <v>2</v>
      </c>
      <c r="G22" s="348">
        <v>10</v>
      </c>
      <c r="H22" s="348"/>
      <c r="I22" s="324">
        <f t="shared" si="0"/>
        <v>7</v>
      </c>
      <c r="J22" s="318">
        <f t="shared" si="1"/>
        <v>0</v>
      </c>
      <c r="K22" s="318">
        <f t="shared" si="2"/>
        <v>0</v>
      </c>
      <c r="L22" s="318">
        <f t="shared" si="3"/>
        <v>0</v>
      </c>
      <c r="M22" s="318">
        <f t="shared" si="4"/>
        <v>0</v>
      </c>
      <c r="N22" s="318">
        <f t="shared" si="5"/>
        <v>0</v>
      </c>
      <c r="O22" s="318">
        <f t="shared" si="6"/>
        <v>0</v>
      </c>
      <c r="P22" s="318">
        <f t="shared" si="7"/>
        <v>0</v>
      </c>
      <c r="Q22" s="318">
        <f t="shared" si="8"/>
        <v>0</v>
      </c>
      <c r="R22" s="318">
        <f t="shared" si="9"/>
        <v>7</v>
      </c>
      <c r="S22" s="318">
        <f t="shared" si="10"/>
        <v>0</v>
      </c>
      <c r="T22" s="318">
        <f t="shared" si="11"/>
        <v>0</v>
      </c>
      <c r="U22" s="329"/>
      <c r="V22" s="337" t="s">
        <v>363</v>
      </c>
      <c r="W22" s="338">
        <f>COUNTIF(I6:I65,8)</f>
        <v>0</v>
      </c>
      <c r="X22" s="347"/>
      <c r="Y22" s="339"/>
      <c r="Z22" s="339"/>
      <c r="AA22" s="339"/>
      <c r="AB22" s="339"/>
      <c r="AC22" s="340">
        <f t="shared" si="16"/>
        <v>0</v>
      </c>
    </row>
    <row r="23" spans="1:29" ht="21" thickTop="1" thickBot="1">
      <c r="A23" s="323">
        <v>18</v>
      </c>
      <c r="B23" s="323">
        <f t="shared" si="17"/>
        <v>2023</v>
      </c>
      <c r="C23" s="323">
        <f t="shared" si="18"/>
        <v>10</v>
      </c>
      <c r="D23" s="323">
        <f t="shared" si="14"/>
        <v>31</v>
      </c>
      <c r="E23" s="323">
        <f t="shared" si="15"/>
        <v>6</v>
      </c>
      <c r="F23" s="348">
        <v>2</v>
      </c>
      <c r="G23" s="348">
        <v>10</v>
      </c>
      <c r="H23" s="348"/>
      <c r="I23" s="324">
        <f t="shared" si="0"/>
        <v>7</v>
      </c>
      <c r="J23" s="318">
        <f t="shared" si="1"/>
        <v>0</v>
      </c>
      <c r="K23" s="318">
        <f t="shared" si="2"/>
        <v>0</v>
      </c>
      <c r="L23" s="318">
        <f t="shared" si="3"/>
        <v>0</v>
      </c>
      <c r="M23" s="318">
        <f t="shared" si="4"/>
        <v>0</v>
      </c>
      <c r="N23" s="318">
        <f t="shared" si="5"/>
        <v>0</v>
      </c>
      <c r="O23" s="318">
        <f t="shared" si="6"/>
        <v>0</v>
      </c>
      <c r="P23" s="318">
        <f t="shared" si="7"/>
        <v>0</v>
      </c>
      <c r="Q23" s="318">
        <f t="shared" si="8"/>
        <v>0</v>
      </c>
      <c r="R23" s="318">
        <f t="shared" si="9"/>
        <v>7</v>
      </c>
      <c r="S23" s="318">
        <f t="shared" si="10"/>
        <v>0</v>
      </c>
      <c r="T23" s="318">
        <f t="shared" si="11"/>
        <v>0</v>
      </c>
      <c r="U23" s="329"/>
      <c r="V23" s="341" t="s">
        <v>212</v>
      </c>
      <c r="W23" s="342">
        <f>SUM(W15:W22)</f>
        <v>60</v>
      </c>
      <c r="X23" s="343">
        <f>SUM(X15:X22)</f>
        <v>0</v>
      </c>
      <c r="AC23" s="344">
        <f>SUM(AC15:AC22)</f>
        <v>60</v>
      </c>
    </row>
    <row r="24" spans="1:29">
      <c r="A24" s="323">
        <v>19</v>
      </c>
      <c r="B24" s="323">
        <f t="shared" si="17"/>
        <v>2023</v>
      </c>
      <c r="C24" s="323">
        <f t="shared" si="18"/>
        <v>9</v>
      </c>
      <c r="D24" s="323">
        <f t="shared" si="14"/>
        <v>31</v>
      </c>
      <c r="E24" s="323">
        <f t="shared" si="15"/>
        <v>5</v>
      </c>
      <c r="F24" s="348">
        <v>2</v>
      </c>
      <c r="G24" s="348">
        <v>10</v>
      </c>
      <c r="H24" s="348"/>
      <c r="I24" s="324">
        <f t="shared" si="0"/>
        <v>7</v>
      </c>
      <c r="J24" s="318">
        <f t="shared" si="1"/>
        <v>0</v>
      </c>
      <c r="K24" s="318">
        <f t="shared" si="2"/>
        <v>0</v>
      </c>
      <c r="L24" s="318">
        <f t="shared" si="3"/>
        <v>0</v>
      </c>
      <c r="M24" s="318">
        <f t="shared" si="4"/>
        <v>0</v>
      </c>
      <c r="N24" s="318">
        <f t="shared" si="5"/>
        <v>0</v>
      </c>
      <c r="O24" s="318">
        <f t="shared" si="6"/>
        <v>0</v>
      </c>
      <c r="P24" s="318">
        <f t="shared" si="7"/>
        <v>0</v>
      </c>
      <c r="Q24" s="318">
        <f t="shared" si="8"/>
        <v>0</v>
      </c>
      <c r="R24" s="318">
        <f t="shared" si="9"/>
        <v>7</v>
      </c>
      <c r="S24" s="318">
        <f t="shared" si="10"/>
        <v>0</v>
      </c>
      <c r="T24" s="318">
        <f t="shared" si="11"/>
        <v>0</v>
      </c>
    </row>
    <row r="25" spans="1:29">
      <c r="A25" s="323">
        <v>20</v>
      </c>
      <c r="B25" s="323">
        <f t="shared" si="17"/>
        <v>2023</v>
      </c>
      <c r="C25" s="323">
        <f t="shared" si="18"/>
        <v>8</v>
      </c>
      <c r="D25" s="323">
        <f t="shared" si="14"/>
        <v>31</v>
      </c>
      <c r="E25" s="323">
        <f t="shared" si="15"/>
        <v>4</v>
      </c>
      <c r="F25" s="348">
        <v>2</v>
      </c>
      <c r="G25" s="348">
        <v>10</v>
      </c>
      <c r="H25" s="348"/>
      <c r="I25" s="324">
        <f t="shared" si="0"/>
        <v>7</v>
      </c>
      <c r="J25" s="318">
        <f t="shared" si="1"/>
        <v>0</v>
      </c>
      <c r="K25" s="318">
        <f t="shared" si="2"/>
        <v>0</v>
      </c>
      <c r="L25" s="318">
        <f t="shared" si="3"/>
        <v>0</v>
      </c>
      <c r="M25" s="318">
        <f t="shared" si="4"/>
        <v>0</v>
      </c>
      <c r="N25" s="318">
        <f t="shared" si="5"/>
        <v>0</v>
      </c>
      <c r="O25" s="318">
        <f t="shared" si="6"/>
        <v>0</v>
      </c>
      <c r="P25" s="318">
        <f t="shared" si="7"/>
        <v>0</v>
      </c>
      <c r="Q25" s="318">
        <f t="shared" si="8"/>
        <v>0</v>
      </c>
      <c r="R25" s="318">
        <f t="shared" si="9"/>
        <v>7</v>
      </c>
      <c r="S25" s="318">
        <f t="shared" si="10"/>
        <v>0</v>
      </c>
      <c r="T25" s="318">
        <f t="shared" si="11"/>
        <v>0</v>
      </c>
      <c r="AC25" s="349" t="s">
        <v>364</v>
      </c>
    </row>
    <row r="26" spans="1:29">
      <c r="A26" s="323">
        <v>21</v>
      </c>
      <c r="B26" s="323">
        <f t="shared" si="17"/>
        <v>2023</v>
      </c>
      <c r="C26" s="323">
        <f t="shared" si="18"/>
        <v>7</v>
      </c>
      <c r="D26" s="323">
        <f t="shared" si="14"/>
        <v>31</v>
      </c>
      <c r="E26" s="323">
        <f t="shared" si="15"/>
        <v>3</v>
      </c>
      <c r="F26" s="348">
        <v>2</v>
      </c>
      <c r="G26" s="348">
        <v>10</v>
      </c>
      <c r="H26" s="348"/>
      <c r="I26" s="324">
        <f t="shared" si="0"/>
        <v>7</v>
      </c>
      <c r="J26" s="318">
        <f t="shared" si="1"/>
        <v>0</v>
      </c>
      <c r="K26" s="318">
        <f t="shared" si="2"/>
        <v>0</v>
      </c>
      <c r="L26" s="318">
        <f t="shared" si="3"/>
        <v>0</v>
      </c>
      <c r="M26" s="318">
        <f t="shared" si="4"/>
        <v>0</v>
      </c>
      <c r="N26" s="318">
        <f t="shared" si="5"/>
        <v>0</v>
      </c>
      <c r="O26" s="318">
        <f t="shared" si="6"/>
        <v>0</v>
      </c>
      <c r="P26" s="318">
        <f t="shared" si="7"/>
        <v>0</v>
      </c>
      <c r="Q26" s="318">
        <f t="shared" si="8"/>
        <v>0</v>
      </c>
      <c r="R26" s="318">
        <f t="shared" si="9"/>
        <v>7</v>
      </c>
      <c r="S26" s="318">
        <f t="shared" si="10"/>
        <v>0</v>
      </c>
      <c r="T26" s="318">
        <f t="shared" si="11"/>
        <v>0</v>
      </c>
    </row>
    <row r="27" spans="1:29">
      <c r="A27" s="323">
        <v>22</v>
      </c>
      <c r="B27" s="323">
        <f t="shared" si="17"/>
        <v>2023</v>
      </c>
      <c r="C27" s="323">
        <f t="shared" si="18"/>
        <v>6</v>
      </c>
      <c r="D27" s="323">
        <f t="shared" si="14"/>
        <v>31</v>
      </c>
      <c r="E27" s="323">
        <f t="shared" si="15"/>
        <v>2</v>
      </c>
      <c r="F27" s="348">
        <v>2</v>
      </c>
      <c r="G27" s="348">
        <v>10</v>
      </c>
      <c r="H27" s="348"/>
      <c r="I27" s="324">
        <f t="shared" si="0"/>
        <v>7</v>
      </c>
      <c r="J27" s="318">
        <f t="shared" si="1"/>
        <v>0</v>
      </c>
      <c r="K27" s="318">
        <f t="shared" si="2"/>
        <v>0</v>
      </c>
      <c r="L27" s="318">
        <f t="shared" si="3"/>
        <v>0</v>
      </c>
      <c r="M27" s="318">
        <f t="shared" si="4"/>
        <v>0</v>
      </c>
      <c r="N27" s="318">
        <f t="shared" si="5"/>
        <v>0</v>
      </c>
      <c r="O27" s="318">
        <f t="shared" si="6"/>
        <v>0</v>
      </c>
      <c r="P27" s="318">
        <f t="shared" si="7"/>
        <v>0</v>
      </c>
      <c r="Q27" s="318">
        <f t="shared" si="8"/>
        <v>0</v>
      </c>
      <c r="R27" s="318">
        <f t="shared" si="9"/>
        <v>7</v>
      </c>
      <c r="S27" s="318">
        <f t="shared" si="10"/>
        <v>0</v>
      </c>
      <c r="T27" s="318">
        <f t="shared" si="11"/>
        <v>0</v>
      </c>
    </row>
    <row r="28" spans="1:29">
      <c r="A28" s="323">
        <v>23</v>
      </c>
      <c r="B28" s="323">
        <f t="shared" si="17"/>
        <v>2023</v>
      </c>
      <c r="C28" s="323">
        <f t="shared" si="18"/>
        <v>5</v>
      </c>
      <c r="D28" s="323">
        <f t="shared" si="14"/>
        <v>31</v>
      </c>
      <c r="E28" s="323">
        <f t="shared" si="15"/>
        <v>1</v>
      </c>
      <c r="F28" s="348">
        <v>2</v>
      </c>
      <c r="G28" s="348">
        <v>10</v>
      </c>
      <c r="H28" s="348"/>
      <c r="I28" s="324">
        <f t="shared" si="0"/>
        <v>7</v>
      </c>
      <c r="J28" s="318">
        <f t="shared" si="1"/>
        <v>0</v>
      </c>
      <c r="K28" s="318">
        <f t="shared" si="2"/>
        <v>0</v>
      </c>
      <c r="L28" s="318">
        <f t="shared" si="3"/>
        <v>0</v>
      </c>
      <c r="M28" s="318">
        <f t="shared" si="4"/>
        <v>0</v>
      </c>
      <c r="N28" s="318">
        <f t="shared" si="5"/>
        <v>0</v>
      </c>
      <c r="O28" s="318">
        <f t="shared" si="6"/>
        <v>0</v>
      </c>
      <c r="P28" s="318">
        <f t="shared" si="7"/>
        <v>0</v>
      </c>
      <c r="Q28" s="318">
        <f t="shared" si="8"/>
        <v>0</v>
      </c>
      <c r="R28" s="318">
        <f t="shared" si="9"/>
        <v>7</v>
      </c>
      <c r="S28" s="318">
        <f t="shared" si="10"/>
        <v>0</v>
      </c>
      <c r="T28" s="318">
        <f t="shared" si="11"/>
        <v>0</v>
      </c>
    </row>
    <row r="29" spans="1:29">
      <c r="A29" s="323">
        <v>24</v>
      </c>
      <c r="B29" s="323">
        <f t="shared" si="17"/>
        <v>2023</v>
      </c>
      <c r="C29" s="323">
        <f t="shared" si="18"/>
        <v>4</v>
      </c>
      <c r="D29" s="323">
        <f t="shared" si="14"/>
        <v>31</v>
      </c>
      <c r="E29" s="323">
        <f t="shared" si="15"/>
        <v>0</v>
      </c>
      <c r="F29" s="348">
        <v>2</v>
      </c>
      <c r="G29" s="348">
        <v>10</v>
      </c>
      <c r="H29" s="348"/>
      <c r="I29" s="324">
        <f t="shared" si="0"/>
        <v>7</v>
      </c>
      <c r="J29" s="318">
        <f t="shared" si="1"/>
        <v>0</v>
      </c>
      <c r="K29" s="318">
        <f t="shared" si="2"/>
        <v>0</v>
      </c>
      <c r="L29" s="318">
        <f t="shared" si="3"/>
        <v>0</v>
      </c>
      <c r="M29" s="318">
        <f t="shared" si="4"/>
        <v>0</v>
      </c>
      <c r="N29" s="318">
        <f t="shared" si="5"/>
        <v>0</v>
      </c>
      <c r="O29" s="318">
        <f t="shared" si="6"/>
        <v>0</v>
      </c>
      <c r="P29" s="318">
        <f t="shared" si="7"/>
        <v>0</v>
      </c>
      <c r="Q29" s="318">
        <f t="shared" si="8"/>
        <v>0</v>
      </c>
      <c r="R29" s="318">
        <f t="shared" si="9"/>
        <v>7</v>
      </c>
      <c r="S29" s="318">
        <f t="shared" si="10"/>
        <v>0</v>
      </c>
      <c r="T29" s="318">
        <f t="shared" si="11"/>
        <v>0</v>
      </c>
    </row>
    <row r="30" spans="1:29">
      <c r="A30" s="323">
        <v>25</v>
      </c>
      <c r="B30" s="323">
        <f t="shared" si="17"/>
        <v>2023</v>
      </c>
      <c r="C30" s="323">
        <f t="shared" si="18"/>
        <v>3</v>
      </c>
      <c r="D30" s="323">
        <f t="shared" si="14"/>
        <v>30</v>
      </c>
      <c r="E30" s="323">
        <f t="shared" si="15"/>
        <v>11</v>
      </c>
      <c r="F30" s="348">
        <v>2</v>
      </c>
      <c r="G30" s="348">
        <v>10</v>
      </c>
      <c r="H30" s="348"/>
      <c r="I30" s="324">
        <f t="shared" si="0"/>
        <v>7</v>
      </c>
      <c r="J30" s="318">
        <f t="shared" si="1"/>
        <v>0</v>
      </c>
      <c r="K30" s="318">
        <f t="shared" si="2"/>
        <v>0</v>
      </c>
      <c r="L30" s="318">
        <f t="shared" si="3"/>
        <v>0</v>
      </c>
      <c r="M30" s="318">
        <f t="shared" si="4"/>
        <v>0</v>
      </c>
      <c r="N30" s="318">
        <f t="shared" si="5"/>
        <v>0</v>
      </c>
      <c r="O30" s="318">
        <f t="shared" si="6"/>
        <v>0</v>
      </c>
      <c r="P30" s="318">
        <f t="shared" si="7"/>
        <v>0</v>
      </c>
      <c r="Q30" s="318">
        <f t="shared" si="8"/>
        <v>0</v>
      </c>
      <c r="R30" s="318">
        <f t="shared" si="9"/>
        <v>7</v>
      </c>
      <c r="S30" s="318">
        <f t="shared" si="10"/>
        <v>0</v>
      </c>
      <c r="T30" s="318">
        <f t="shared" si="11"/>
        <v>0</v>
      </c>
    </row>
    <row r="31" spans="1:29">
      <c r="A31" s="323">
        <v>26</v>
      </c>
      <c r="B31" s="323">
        <f t="shared" si="17"/>
        <v>2023</v>
      </c>
      <c r="C31" s="323">
        <f t="shared" si="18"/>
        <v>2</v>
      </c>
      <c r="D31" s="323">
        <f t="shared" si="14"/>
        <v>30</v>
      </c>
      <c r="E31" s="323">
        <f t="shared" si="15"/>
        <v>10</v>
      </c>
      <c r="F31" s="348">
        <v>2</v>
      </c>
      <c r="G31" s="348">
        <v>10</v>
      </c>
      <c r="H31" s="348"/>
      <c r="I31" s="324">
        <f t="shared" si="0"/>
        <v>7</v>
      </c>
      <c r="J31" s="318">
        <f t="shared" si="1"/>
        <v>0</v>
      </c>
      <c r="K31" s="318">
        <f t="shared" si="2"/>
        <v>0</v>
      </c>
      <c r="L31" s="318">
        <f t="shared" si="3"/>
        <v>0</v>
      </c>
      <c r="M31" s="318">
        <f t="shared" si="4"/>
        <v>0</v>
      </c>
      <c r="N31" s="318">
        <f t="shared" si="5"/>
        <v>0</v>
      </c>
      <c r="O31" s="318">
        <f t="shared" si="6"/>
        <v>0</v>
      </c>
      <c r="P31" s="318">
        <f t="shared" si="7"/>
        <v>0</v>
      </c>
      <c r="Q31" s="318">
        <f t="shared" si="8"/>
        <v>0</v>
      </c>
      <c r="R31" s="318">
        <f t="shared" si="9"/>
        <v>7</v>
      </c>
      <c r="S31" s="318">
        <f t="shared" si="10"/>
        <v>0</v>
      </c>
      <c r="T31" s="318">
        <f t="shared" si="11"/>
        <v>0</v>
      </c>
    </row>
    <row r="32" spans="1:29">
      <c r="A32" s="323">
        <v>27</v>
      </c>
      <c r="B32" s="323">
        <f t="shared" si="17"/>
        <v>2023</v>
      </c>
      <c r="C32" s="323">
        <f t="shared" si="18"/>
        <v>1</v>
      </c>
      <c r="D32" s="323">
        <f t="shared" si="14"/>
        <v>30</v>
      </c>
      <c r="E32" s="323">
        <f t="shared" si="15"/>
        <v>9</v>
      </c>
      <c r="F32" s="348">
        <v>2</v>
      </c>
      <c r="G32" s="348">
        <v>10</v>
      </c>
      <c r="H32" s="348"/>
      <c r="I32" s="324">
        <f t="shared" si="0"/>
        <v>7</v>
      </c>
      <c r="J32" s="318">
        <f t="shared" si="1"/>
        <v>0</v>
      </c>
      <c r="K32" s="318">
        <f t="shared" si="2"/>
        <v>0</v>
      </c>
      <c r="L32" s="318">
        <f t="shared" si="3"/>
        <v>0</v>
      </c>
      <c r="M32" s="318">
        <f t="shared" si="4"/>
        <v>0</v>
      </c>
      <c r="N32" s="318">
        <f t="shared" si="5"/>
        <v>0</v>
      </c>
      <c r="O32" s="318">
        <f t="shared" si="6"/>
        <v>0</v>
      </c>
      <c r="P32" s="318">
        <f t="shared" si="7"/>
        <v>0</v>
      </c>
      <c r="Q32" s="318">
        <f t="shared" si="8"/>
        <v>0</v>
      </c>
      <c r="R32" s="318">
        <f t="shared" si="9"/>
        <v>7</v>
      </c>
      <c r="S32" s="318">
        <f t="shared" si="10"/>
        <v>0</v>
      </c>
      <c r="T32" s="318">
        <f t="shared" si="11"/>
        <v>0</v>
      </c>
    </row>
    <row r="33" spans="1:20">
      <c r="A33" s="323">
        <v>28</v>
      </c>
      <c r="B33" s="323">
        <f t="shared" si="17"/>
        <v>2022</v>
      </c>
      <c r="C33" s="323">
        <f t="shared" si="18"/>
        <v>12</v>
      </c>
      <c r="D33" s="323">
        <f t="shared" si="14"/>
        <v>30</v>
      </c>
      <c r="E33" s="323">
        <f t="shared" si="15"/>
        <v>8</v>
      </c>
      <c r="F33" s="348">
        <v>2</v>
      </c>
      <c r="G33" s="348">
        <v>10</v>
      </c>
      <c r="H33" s="348"/>
      <c r="I33" s="324">
        <f t="shared" si="0"/>
        <v>7</v>
      </c>
      <c r="J33" s="318">
        <f t="shared" si="1"/>
        <v>0</v>
      </c>
      <c r="K33" s="318">
        <f t="shared" si="2"/>
        <v>0</v>
      </c>
      <c r="L33" s="318">
        <f t="shared" si="3"/>
        <v>0</v>
      </c>
      <c r="M33" s="318">
        <f t="shared" si="4"/>
        <v>0</v>
      </c>
      <c r="N33" s="318">
        <f t="shared" si="5"/>
        <v>0</v>
      </c>
      <c r="O33" s="318">
        <f t="shared" si="6"/>
        <v>0</v>
      </c>
      <c r="P33" s="318">
        <f t="shared" si="7"/>
        <v>0</v>
      </c>
      <c r="Q33" s="318">
        <f t="shared" si="8"/>
        <v>0</v>
      </c>
      <c r="R33" s="318">
        <f t="shared" si="9"/>
        <v>7</v>
      </c>
      <c r="S33" s="318">
        <f t="shared" si="10"/>
        <v>0</v>
      </c>
      <c r="T33" s="318">
        <f t="shared" si="11"/>
        <v>0</v>
      </c>
    </row>
    <row r="34" spans="1:20">
      <c r="A34" s="323">
        <v>29</v>
      </c>
      <c r="B34" s="323">
        <f t="shared" si="17"/>
        <v>2022</v>
      </c>
      <c r="C34" s="323">
        <f t="shared" si="18"/>
        <v>11</v>
      </c>
      <c r="D34" s="323">
        <f t="shared" si="14"/>
        <v>30</v>
      </c>
      <c r="E34" s="323">
        <f t="shared" si="15"/>
        <v>7</v>
      </c>
      <c r="F34" s="348">
        <v>2</v>
      </c>
      <c r="G34" s="348">
        <v>10</v>
      </c>
      <c r="H34" s="348"/>
      <c r="I34" s="324">
        <f t="shared" si="0"/>
        <v>7</v>
      </c>
      <c r="J34" s="318">
        <f t="shared" si="1"/>
        <v>0</v>
      </c>
      <c r="K34" s="318">
        <f t="shared" si="2"/>
        <v>0</v>
      </c>
      <c r="L34" s="318">
        <f t="shared" si="3"/>
        <v>0</v>
      </c>
      <c r="M34" s="318">
        <f t="shared" si="4"/>
        <v>0</v>
      </c>
      <c r="N34" s="318">
        <f t="shared" si="5"/>
        <v>0</v>
      </c>
      <c r="O34" s="318">
        <f t="shared" si="6"/>
        <v>0</v>
      </c>
      <c r="P34" s="318">
        <f t="shared" si="7"/>
        <v>0</v>
      </c>
      <c r="Q34" s="318">
        <f t="shared" si="8"/>
        <v>0</v>
      </c>
      <c r="R34" s="318">
        <f t="shared" si="9"/>
        <v>7</v>
      </c>
      <c r="S34" s="318">
        <f t="shared" si="10"/>
        <v>0</v>
      </c>
      <c r="T34" s="318">
        <f t="shared" si="11"/>
        <v>0</v>
      </c>
    </row>
    <row r="35" spans="1:20">
      <c r="A35" s="323">
        <v>30</v>
      </c>
      <c r="B35" s="323">
        <f t="shared" si="17"/>
        <v>2022</v>
      </c>
      <c r="C35" s="323">
        <f t="shared" si="18"/>
        <v>10</v>
      </c>
      <c r="D35" s="323">
        <f t="shared" si="14"/>
        <v>30</v>
      </c>
      <c r="E35" s="323">
        <f t="shared" si="15"/>
        <v>6</v>
      </c>
      <c r="F35" s="348">
        <v>2</v>
      </c>
      <c r="G35" s="348">
        <v>10</v>
      </c>
      <c r="H35" s="348"/>
      <c r="I35" s="324">
        <f t="shared" si="0"/>
        <v>7</v>
      </c>
      <c r="J35" s="318">
        <f t="shared" si="1"/>
        <v>0</v>
      </c>
      <c r="K35" s="318">
        <f t="shared" si="2"/>
        <v>0</v>
      </c>
      <c r="L35" s="318">
        <f t="shared" si="3"/>
        <v>0</v>
      </c>
      <c r="M35" s="318">
        <f t="shared" si="4"/>
        <v>0</v>
      </c>
      <c r="N35" s="318">
        <f t="shared" si="5"/>
        <v>0</v>
      </c>
      <c r="O35" s="318">
        <f t="shared" si="6"/>
        <v>0</v>
      </c>
      <c r="P35" s="318">
        <f t="shared" si="7"/>
        <v>0</v>
      </c>
      <c r="Q35" s="318">
        <f t="shared" si="8"/>
        <v>0</v>
      </c>
      <c r="R35" s="318">
        <f t="shared" si="9"/>
        <v>7</v>
      </c>
      <c r="S35" s="318">
        <f t="shared" si="10"/>
        <v>0</v>
      </c>
      <c r="T35" s="318">
        <f t="shared" si="11"/>
        <v>0</v>
      </c>
    </row>
    <row r="36" spans="1:20">
      <c r="A36" s="323">
        <v>31</v>
      </c>
      <c r="B36" s="323">
        <f t="shared" si="17"/>
        <v>2022</v>
      </c>
      <c r="C36" s="323">
        <f t="shared" si="18"/>
        <v>9</v>
      </c>
      <c r="D36" s="323">
        <f t="shared" si="14"/>
        <v>30</v>
      </c>
      <c r="E36" s="323">
        <f t="shared" si="15"/>
        <v>5</v>
      </c>
      <c r="F36" s="348">
        <v>2</v>
      </c>
      <c r="G36" s="348">
        <v>10</v>
      </c>
      <c r="H36" s="348"/>
      <c r="I36" s="324">
        <f t="shared" si="0"/>
        <v>7</v>
      </c>
      <c r="J36" s="318">
        <f t="shared" si="1"/>
        <v>0</v>
      </c>
      <c r="K36" s="318">
        <f t="shared" si="2"/>
        <v>0</v>
      </c>
      <c r="L36" s="318">
        <f t="shared" si="3"/>
        <v>0</v>
      </c>
      <c r="M36" s="318">
        <f t="shared" si="4"/>
        <v>0</v>
      </c>
      <c r="N36" s="318">
        <f t="shared" si="5"/>
        <v>0</v>
      </c>
      <c r="O36" s="318">
        <f t="shared" si="6"/>
        <v>0</v>
      </c>
      <c r="P36" s="318">
        <f t="shared" si="7"/>
        <v>0</v>
      </c>
      <c r="Q36" s="318">
        <f t="shared" si="8"/>
        <v>0</v>
      </c>
      <c r="R36" s="318">
        <f t="shared" si="9"/>
        <v>7</v>
      </c>
      <c r="S36" s="318">
        <f t="shared" si="10"/>
        <v>0</v>
      </c>
      <c r="T36" s="318">
        <f t="shared" si="11"/>
        <v>0</v>
      </c>
    </row>
    <row r="37" spans="1:20">
      <c r="A37" s="323">
        <v>32</v>
      </c>
      <c r="B37" s="323">
        <f t="shared" si="17"/>
        <v>2022</v>
      </c>
      <c r="C37" s="323">
        <f t="shared" si="18"/>
        <v>8</v>
      </c>
      <c r="D37" s="323">
        <f t="shared" si="14"/>
        <v>30</v>
      </c>
      <c r="E37" s="323">
        <f t="shared" si="15"/>
        <v>4</v>
      </c>
      <c r="F37" s="348">
        <v>2</v>
      </c>
      <c r="G37" s="348">
        <v>10</v>
      </c>
      <c r="H37" s="348"/>
      <c r="I37" s="324">
        <f t="shared" si="0"/>
        <v>7</v>
      </c>
      <c r="J37" s="318">
        <f t="shared" si="1"/>
        <v>0</v>
      </c>
      <c r="K37" s="318">
        <f t="shared" si="2"/>
        <v>0</v>
      </c>
      <c r="L37" s="318">
        <f t="shared" si="3"/>
        <v>0</v>
      </c>
      <c r="M37" s="318">
        <f t="shared" si="4"/>
        <v>0</v>
      </c>
      <c r="N37" s="318">
        <f t="shared" si="5"/>
        <v>0</v>
      </c>
      <c r="O37" s="318">
        <f t="shared" si="6"/>
        <v>0</v>
      </c>
      <c r="P37" s="318">
        <f t="shared" si="7"/>
        <v>0</v>
      </c>
      <c r="Q37" s="318">
        <f t="shared" si="8"/>
        <v>0</v>
      </c>
      <c r="R37" s="318">
        <f t="shared" si="9"/>
        <v>7</v>
      </c>
      <c r="S37" s="318">
        <f t="shared" si="10"/>
        <v>0</v>
      </c>
      <c r="T37" s="318">
        <f t="shared" si="11"/>
        <v>0</v>
      </c>
    </row>
    <row r="38" spans="1:20">
      <c r="A38" s="323">
        <v>33</v>
      </c>
      <c r="B38" s="323">
        <f t="shared" si="17"/>
        <v>2022</v>
      </c>
      <c r="C38" s="323">
        <f t="shared" si="18"/>
        <v>7</v>
      </c>
      <c r="D38" s="323">
        <f t="shared" si="14"/>
        <v>30</v>
      </c>
      <c r="E38" s="323">
        <f t="shared" si="15"/>
        <v>3</v>
      </c>
      <c r="F38" s="348">
        <v>2</v>
      </c>
      <c r="G38" s="348">
        <v>10</v>
      </c>
      <c r="H38" s="348"/>
      <c r="I38" s="324">
        <f t="shared" si="0"/>
        <v>7</v>
      </c>
      <c r="J38" s="318">
        <f t="shared" si="1"/>
        <v>0</v>
      </c>
      <c r="K38" s="318">
        <f t="shared" si="2"/>
        <v>0</v>
      </c>
      <c r="L38" s="318">
        <f t="shared" si="3"/>
        <v>0</v>
      </c>
      <c r="M38" s="318">
        <f t="shared" si="4"/>
        <v>0</v>
      </c>
      <c r="N38" s="318">
        <f t="shared" si="5"/>
        <v>0</v>
      </c>
      <c r="O38" s="318">
        <f t="shared" si="6"/>
        <v>0</v>
      </c>
      <c r="P38" s="318">
        <f t="shared" si="7"/>
        <v>0</v>
      </c>
      <c r="Q38" s="318">
        <f t="shared" si="8"/>
        <v>0</v>
      </c>
      <c r="R38" s="318">
        <f t="shared" si="9"/>
        <v>7</v>
      </c>
      <c r="S38" s="318">
        <f t="shared" si="10"/>
        <v>0</v>
      </c>
      <c r="T38" s="318">
        <f t="shared" si="11"/>
        <v>0</v>
      </c>
    </row>
    <row r="39" spans="1:20">
      <c r="A39" s="323">
        <v>34</v>
      </c>
      <c r="B39" s="323">
        <f t="shared" si="17"/>
        <v>2022</v>
      </c>
      <c r="C39" s="323">
        <f t="shared" si="18"/>
        <v>6</v>
      </c>
      <c r="D39" s="323">
        <f t="shared" si="14"/>
        <v>30</v>
      </c>
      <c r="E39" s="323">
        <f t="shared" si="15"/>
        <v>2</v>
      </c>
      <c r="F39" s="348">
        <v>2</v>
      </c>
      <c r="G39" s="348">
        <v>10</v>
      </c>
      <c r="H39" s="348"/>
      <c r="I39" s="324">
        <f t="shared" si="0"/>
        <v>7</v>
      </c>
      <c r="J39" s="318">
        <f t="shared" si="1"/>
        <v>0</v>
      </c>
      <c r="K39" s="318">
        <f t="shared" si="2"/>
        <v>0</v>
      </c>
      <c r="L39" s="318">
        <f t="shared" si="3"/>
        <v>0</v>
      </c>
      <c r="M39" s="318">
        <f t="shared" si="4"/>
        <v>0</v>
      </c>
      <c r="N39" s="318">
        <f t="shared" si="5"/>
        <v>0</v>
      </c>
      <c r="O39" s="318">
        <f t="shared" si="6"/>
        <v>0</v>
      </c>
      <c r="P39" s="318">
        <f t="shared" si="7"/>
        <v>0</v>
      </c>
      <c r="Q39" s="318">
        <f t="shared" si="8"/>
        <v>0</v>
      </c>
      <c r="R39" s="318">
        <f t="shared" si="9"/>
        <v>7</v>
      </c>
      <c r="S39" s="318">
        <f t="shared" si="10"/>
        <v>0</v>
      </c>
      <c r="T39" s="318">
        <f t="shared" si="11"/>
        <v>0</v>
      </c>
    </row>
    <row r="40" spans="1:20">
      <c r="A40" s="323">
        <v>35</v>
      </c>
      <c r="B40" s="323">
        <f t="shared" si="17"/>
        <v>2022</v>
      </c>
      <c r="C40" s="323">
        <f t="shared" si="18"/>
        <v>5</v>
      </c>
      <c r="D40" s="323">
        <f t="shared" si="14"/>
        <v>30</v>
      </c>
      <c r="E40" s="323">
        <f t="shared" si="15"/>
        <v>1</v>
      </c>
      <c r="F40" s="348">
        <v>2</v>
      </c>
      <c r="G40" s="348">
        <v>10</v>
      </c>
      <c r="H40" s="348"/>
      <c r="I40" s="324">
        <f t="shared" si="0"/>
        <v>7</v>
      </c>
      <c r="J40" s="318">
        <f t="shared" si="1"/>
        <v>0</v>
      </c>
      <c r="K40" s="318">
        <f t="shared" si="2"/>
        <v>0</v>
      </c>
      <c r="L40" s="318">
        <f t="shared" si="3"/>
        <v>0</v>
      </c>
      <c r="M40" s="318">
        <f t="shared" si="4"/>
        <v>0</v>
      </c>
      <c r="N40" s="318">
        <f t="shared" si="5"/>
        <v>0</v>
      </c>
      <c r="O40" s="318">
        <f t="shared" si="6"/>
        <v>0</v>
      </c>
      <c r="P40" s="318">
        <f t="shared" si="7"/>
        <v>0</v>
      </c>
      <c r="Q40" s="318">
        <f t="shared" si="8"/>
        <v>0</v>
      </c>
      <c r="R40" s="318">
        <f t="shared" si="9"/>
        <v>7</v>
      </c>
      <c r="S40" s="318">
        <f t="shared" si="10"/>
        <v>0</v>
      </c>
      <c r="T40" s="318">
        <f t="shared" si="11"/>
        <v>0</v>
      </c>
    </row>
    <row r="41" spans="1:20">
      <c r="A41" s="323">
        <v>36</v>
      </c>
      <c r="B41" s="323">
        <f t="shared" si="17"/>
        <v>2022</v>
      </c>
      <c r="C41" s="323">
        <f t="shared" si="18"/>
        <v>4</v>
      </c>
      <c r="D41" s="323">
        <f t="shared" si="14"/>
        <v>30</v>
      </c>
      <c r="E41" s="323">
        <f t="shared" si="15"/>
        <v>0</v>
      </c>
      <c r="F41" s="348">
        <v>2</v>
      </c>
      <c r="G41" s="348">
        <v>10</v>
      </c>
      <c r="H41" s="348"/>
      <c r="I41" s="324">
        <f t="shared" si="0"/>
        <v>7</v>
      </c>
      <c r="J41" s="318">
        <f t="shared" si="1"/>
        <v>0</v>
      </c>
      <c r="K41" s="318">
        <f t="shared" si="2"/>
        <v>0</v>
      </c>
      <c r="L41" s="318">
        <f t="shared" si="3"/>
        <v>0</v>
      </c>
      <c r="M41" s="318">
        <f t="shared" si="4"/>
        <v>0</v>
      </c>
      <c r="N41" s="318">
        <f t="shared" si="5"/>
        <v>0</v>
      </c>
      <c r="O41" s="318">
        <f t="shared" si="6"/>
        <v>0</v>
      </c>
      <c r="P41" s="318">
        <f t="shared" si="7"/>
        <v>0</v>
      </c>
      <c r="Q41" s="318">
        <f t="shared" si="8"/>
        <v>0</v>
      </c>
      <c r="R41" s="318">
        <f t="shared" si="9"/>
        <v>7</v>
      </c>
      <c r="S41" s="318">
        <f t="shared" si="10"/>
        <v>0</v>
      </c>
      <c r="T41" s="318">
        <f t="shared" si="11"/>
        <v>0</v>
      </c>
    </row>
    <row r="42" spans="1:20">
      <c r="A42" s="323">
        <v>37</v>
      </c>
      <c r="B42" s="323">
        <f t="shared" si="17"/>
        <v>2022</v>
      </c>
      <c r="C42" s="323">
        <f t="shared" si="18"/>
        <v>3</v>
      </c>
      <c r="D42" s="323">
        <f t="shared" si="14"/>
        <v>29</v>
      </c>
      <c r="E42" s="323">
        <f t="shared" si="15"/>
        <v>11</v>
      </c>
      <c r="F42" s="348">
        <v>2</v>
      </c>
      <c r="G42" s="348">
        <v>10</v>
      </c>
      <c r="H42" s="348"/>
      <c r="I42" s="324">
        <f t="shared" si="0"/>
        <v>7</v>
      </c>
      <c r="J42" s="318">
        <f t="shared" si="1"/>
        <v>0</v>
      </c>
      <c r="K42" s="318">
        <f t="shared" si="2"/>
        <v>0</v>
      </c>
      <c r="L42" s="318">
        <f t="shared" si="3"/>
        <v>0</v>
      </c>
      <c r="M42" s="318">
        <f t="shared" si="4"/>
        <v>0</v>
      </c>
      <c r="N42" s="318">
        <f t="shared" si="5"/>
        <v>0</v>
      </c>
      <c r="O42" s="318">
        <f t="shared" si="6"/>
        <v>0</v>
      </c>
      <c r="P42" s="318">
        <f t="shared" si="7"/>
        <v>0</v>
      </c>
      <c r="Q42" s="318">
        <f t="shared" si="8"/>
        <v>0</v>
      </c>
      <c r="R42" s="318">
        <f t="shared" si="9"/>
        <v>7</v>
      </c>
      <c r="S42" s="318">
        <f t="shared" si="10"/>
        <v>0</v>
      </c>
      <c r="T42" s="318">
        <f t="shared" si="11"/>
        <v>0</v>
      </c>
    </row>
    <row r="43" spans="1:20">
      <c r="A43" s="323">
        <v>38</v>
      </c>
      <c r="B43" s="323">
        <f t="shared" si="17"/>
        <v>2022</v>
      </c>
      <c r="C43" s="323">
        <f t="shared" si="18"/>
        <v>2</v>
      </c>
      <c r="D43" s="323">
        <f t="shared" si="14"/>
        <v>29</v>
      </c>
      <c r="E43" s="323">
        <f t="shared" si="15"/>
        <v>10</v>
      </c>
      <c r="F43" s="348">
        <v>2</v>
      </c>
      <c r="G43" s="348">
        <v>10</v>
      </c>
      <c r="H43" s="348"/>
      <c r="I43" s="324">
        <f t="shared" si="0"/>
        <v>7</v>
      </c>
      <c r="J43" s="318">
        <f t="shared" si="1"/>
        <v>0</v>
      </c>
      <c r="K43" s="318">
        <f t="shared" si="2"/>
        <v>0</v>
      </c>
      <c r="L43" s="318">
        <f t="shared" si="3"/>
        <v>0</v>
      </c>
      <c r="M43" s="318">
        <f t="shared" si="4"/>
        <v>0</v>
      </c>
      <c r="N43" s="318">
        <f t="shared" si="5"/>
        <v>0</v>
      </c>
      <c r="O43" s="318">
        <f t="shared" si="6"/>
        <v>0</v>
      </c>
      <c r="P43" s="318">
        <f t="shared" si="7"/>
        <v>0</v>
      </c>
      <c r="Q43" s="318">
        <f t="shared" si="8"/>
        <v>0</v>
      </c>
      <c r="R43" s="318">
        <f t="shared" si="9"/>
        <v>7</v>
      </c>
      <c r="S43" s="318">
        <f t="shared" si="10"/>
        <v>0</v>
      </c>
      <c r="T43" s="318">
        <f t="shared" si="11"/>
        <v>0</v>
      </c>
    </row>
    <row r="44" spans="1:20">
      <c r="A44" s="323">
        <v>39</v>
      </c>
      <c r="B44" s="323">
        <f t="shared" si="17"/>
        <v>2022</v>
      </c>
      <c r="C44" s="323">
        <f t="shared" si="18"/>
        <v>1</v>
      </c>
      <c r="D44" s="323">
        <f t="shared" si="14"/>
        <v>29</v>
      </c>
      <c r="E44" s="323">
        <f t="shared" si="15"/>
        <v>9</v>
      </c>
      <c r="F44" s="348">
        <v>2</v>
      </c>
      <c r="G44" s="348">
        <v>10</v>
      </c>
      <c r="H44" s="348"/>
      <c r="I44" s="324">
        <f t="shared" si="0"/>
        <v>7</v>
      </c>
      <c r="J44" s="318">
        <f t="shared" si="1"/>
        <v>0</v>
      </c>
      <c r="K44" s="318">
        <f t="shared" si="2"/>
        <v>0</v>
      </c>
      <c r="L44" s="318">
        <f t="shared" si="3"/>
        <v>0</v>
      </c>
      <c r="M44" s="318">
        <f t="shared" si="4"/>
        <v>0</v>
      </c>
      <c r="N44" s="318">
        <f t="shared" si="5"/>
        <v>0</v>
      </c>
      <c r="O44" s="318">
        <f t="shared" si="6"/>
        <v>0</v>
      </c>
      <c r="P44" s="318">
        <f t="shared" si="7"/>
        <v>0</v>
      </c>
      <c r="Q44" s="318">
        <f t="shared" si="8"/>
        <v>0</v>
      </c>
      <c r="R44" s="318">
        <f t="shared" si="9"/>
        <v>7</v>
      </c>
      <c r="S44" s="318">
        <f t="shared" si="10"/>
        <v>0</v>
      </c>
      <c r="T44" s="318">
        <f t="shared" si="11"/>
        <v>0</v>
      </c>
    </row>
    <row r="45" spans="1:20">
      <c r="A45" s="323">
        <v>40</v>
      </c>
      <c r="B45" s="323">
        <f t="shared" si="17"/>
        <v>2021</v>
      </c>
      <c r="C45" s="323">
        <f t="shared" si="18"/>
        <v>12</v>
      </c>
      <c r="D45" s="323">
        <f t="shared" si="14"/>
        <v>29</v>
      </c>
      <c r="E45" s="323">
        <f t="shared" si="15"/>
        <v>8</v>
      </c>
      <c r="F45" s="348">
        <v>2</v>
      </c>
      <c r="G45" s="348">
        <v>10</v>
      </c>
      <c r="H45" s="348"/>
      <c r="I45" s="324">
        <f t="shared" si="0"/>
        <v>7</v>
      </c>
      <c r="J45" s="318">
        <f t="shared" si="1"/>
        <v>0</v>
      </c>
      <c r="K45" s="318">
        <f t="shared" si="2"/>
        <v>0</v>
      </c>
      <c r="L45" s="318">
        <f t="shared" si="3"/>
        <v>0</v>
      </c>
      <c r="M45" s="318">
        <f t="shared" si="4"/>
        <v>0</v>
      </c>
      <c r="N45" s="318">
        <f t="shared" si="5"/>
        <v>0</v>
      </c>
      <c r="O45" s="318">
        <f t="shared" si="6"/>
        <v>0</v>
      </c>
      <c r="P45" s="318">
        <f t="shared" si="7"/>
        <v>0</v>
      </c>
      <c r="Q45" s="318">
        <f t="shared" si="8"/>
        <v>0</v>
      </c>
      <c r="R45" s="318">
        <f t="shared" si="9"/>
        <v>7</v>
      </c>
      <c r="S45" s="318">
        <f t="shared" si="10"/>
        <v>0</v>
      </c>
      <c r="T45" s="318">
        <f t="shared" si="11"/>
        <v>0</v>
      </c>
    </row>
    <row r="46" spans="1:20">
      <c r="A46" s="323">
        <v>41</v>
      </c>
      <c r="B46" s="323">
        <f t="shared" si="17"/>
        <v>2021</v>
      </c>
      <c r="C46" s="323">
        <f t="shared" si="18"/>
        <v>11</v>
      </c>
      <c r="D46" s="323">
        <f t="shared" si="14"/>
        <v>29</v>
      </c>
      <c r="E46" s="323">
        <f t="shared" si="15"/>
        <v>7</v>
      </c>
      <c r="F46" s="348">
        <v>2</v>
      </c>
      <c r="G46" s="348">
        <v>10</v>
      </c>
      <c r="H46" s="348"/>
      <c r="I46" s="324">
        <f t="shared" si="0"/>
        <v>7</v>
      </c>
      <c r="J46" s="318">
        <f t="shared" si="1"/>
        <v>0</v>
      </c>
      <c r="K46" s="318">
        <f t="shared" si="2"/>
        <v>0</v>
      </c>
      <c r="L46" s="318">
        <f t="shared" si="3"/>
        <v>0</v>
      </c>
      <c r="M46" s="318">
        <f t="shared" si="4"/>
        <v>0</v>
      </c>
      <c r="N46" s="318">
        <f t="shared" si="5"/>
        <v>0</v>
      </c>
      <c r="O46" s="318">
        <f t="shared" si="6"/>
        <v>0</v>
      </c>
      <c r="P46" s="318">
        <f t="shared" si="7"/>
        <v>0</v>
      </c>
      <c r="Q46" s="318">
        <f t="shared" si="8"/>
        <v>0</v>
      </c>
      <c r="R46" s="318">
        <f t="shared" si="9"/>
        <v>7</v>
      </c>
      <c r="S46" s="318">
        <f t="shared" si="10"/>
        <v>0</v>
      </c>
      <c r="T46" s="318">
        <f t="shared" si="11"/>
        <v>0</v>
      </c>
    </row>
    <row r="47" spans="1:20">
      <c r="A47" s="323">
        <v>42</v>
      </c>
      <c r="B47" s="323">
        <f t="shared" si="17"/>
        <v>2021</v>
      </c>
      <c r="C47" s="323">
        <f t="shared" si="18"/>
        <v>10</v>
      </c>
      <c r="D47" s="323">
        <f t="shared" si="14"/>
        <v>29</v>
      </c>
      <c r="E47" s="323">
        <f t="shared" si="15"/>
        <v>6</v>
      </c>
      <c r="F47" s="348">
        <v>2</v>
      </c>
      <c r="G47" s="348">
        <v>10</v>
      </c>
      <c r="H47" s="348"/>
      <c r="I47" s="324">
        <f t="shared" si="0"/>
        <v>7</v>
      </c>
      <c r="J47" s="318">
        <f t="shared" si="1"/>
        <v>0</v>
      </c>
      <c r="K47" s="318">
        <f t="shared" si="2"/>
        <v>0</v>
      </c>
      <c r="L47" s="318">
        <f t="shared" si="3"/>
        <v>0</v>
      </c>
      <c r="M47" s="318">
        <f t="shared" si="4"/>
        <v>0</v>
      </c>
      <c r="N47" s="318">
        <f t="shared" si="5"/>
        <v>0</v>
      </c>
      <c r="O47" s="318">
        <f t="shared" si="6"/>
        <v>0</v>
      </c>
      <c r="P47" s="318">
        <f t="shared" si="7"/>
        <v>0</v>
      </c>
      <c r="Q47" s="318">
        <f t="shared" si="8"/>
        <v>0</v>
      </c>
      <c r="R47" s="318">
        <f t="shared" si="9"/>
        <v>7</v>
      </c>
      <c r="S47" s="318">
        <f t="shared" si="10"/>
        <v>0</v>
      </c>
      <c r="T47" s="318">
        <f t="shared" si="11"/>
        <v>0</v>
      </c>
    </row>
    <row r="48" spans="1:20">
      <c r="A48" s="323">
        <v>43</v>
      </c>
      <c r="B48" s="323">
        <f t="shared" si="17"/>
        <v>2021</v>
      </c>
      <c r="C48" s="323">
        <f t="shared" si="18"/>
        <v>9</v>
      </c>
      <c r="D48" s="323">
        <f t="shared" si="14"/>
        <v>29</v>
      </c>
      <c r="E48" s="323">
        <f t="shared" si="15"/>
        <v>5</v>
      </c>
      <c r="F48" s="348">
        <v>2</v>
      </c>
      <c r="G48" s="348">
        <v>10</v>
      </c>
      <c r="H48" s="348"/>
      <c r="I48" s="324">
        <f t="shared" si="0"/>
        <v>7</v>
      </c>
      <c r="J48" s="318">
        <f t="shared" si="1"/>
        <v>0</v>
      </c>
      <c r="K48" s="318">
        <f t="shared" si="2"/>
        <v>0</v>
      </c>
      <c r="L48" s="318">
        <f t="shared" si="3"/>
        <v>0</v>
      </c>
      <c r="M48" s="318">
        <f t="shared" si="4"/>
        <v>0</v>
      </c>
      <c r="N48" s="318">
        <f t="shared" si="5"/>
        <v>0</v>
      </c>
      <c r="O48" s="318">
        <f t="shared" si="6"/>
        <v>0</v>
      </c>
      <c r="P48" s="318">
        <f t="shared" si="7"/>
        <v>0</v>
      </c>
      <c r="Q48" s="318">
        <f t="shared" si="8"/>
        <v>0</v>
      </c>
      <c r="R48" s="318">
        <f t="shared" si="9"/>
        <v>7</v>
      </c>
      <c r="S48" s="318">
        <f t="shared" si="10"/>
        <v>0</v>
      </c>
      <c r="T48" s="318">
        <f t="shared" si="11"/>
        <v>0</v>
      </c>
    </row>
    <row r="49" spans="1:20">
      <c r="A49" s="323">
        <v>44</v>
      </c>
      <c r="B49" s="323">
        <f t="shared" si="17"/>
        <v>2021</v>
      </c>
      <c r="C49" s="323">
        <f t="shared" si="18"/>
        <v>8</v>
      </c>
      <c r="D49" s="323">
        <f t="shared" si="14"/>
        <v>29</v>
      </c>
      <c r="E49" s="323">
        <f t="shared" si="15"/>
        <v>4</v>
      </c>
      <c r="F49" s="348">
        <v>2</v>
      </c>
      <c r="G49" s="348">
        <v>10</v>
      </c>
      <c r="H49" s="348"/>
      <c r="I49" s="324">
        <f t="shared" si="0"/>
        <v>7</v>
      </c>
      <c r="J49" s="318">
        <f t="shared" si="1"/>
        <v>0</v>
      </c>
      <c r="K49" s="318">
        <f t="shared" si="2"/>
        <v>0</v>
      </c>
      <c r="L49" s="318">
        <f t="shared" si="3"/>
        <v>0</v>
      </c>
      <c r="M49" s="318">
        <f t="shared" si="4"/>
        <v>0</v>
      </c>
      <c r="N49" s="318">
        <f t="shared" si="5"/>
        <v>0</v>
      </c>
      <c r="O49" s="318">
        <f t="shared" si="6"/>
        <v>0</v>
      </c>
      <c r="P49" s="318">
        <f t="shared" si="7"/>
        <v>0</v>
      </c>
      <c r="Q49" s="318">
        <f t="shared" si="8"/>
        <v>0</v>
      </c>
      <c r="R49" s="318">
        <f t="shared" si="9"/>
        <v>7</v>
      </c>
      <c r="S49" s="318">
        <f t="shared" si="10"/>
        <v>0</v>
      </c>
      <c r="T49" s="318">
        <f t="shared" si="11"/>
        <v>0</v>
      </c>
    </row>
    <row r="50" spans="1:20">
      <c r="A50" s="323">
        <v>45</v>
      </c>
      <c r="B50" s="323">
        <f t="shared" si="17"/>
        <v>2021</v>
      </c>
      <c r="C50" s="323">
        <f t="shared" si="18"/>
        <v>7</v>
      </c>
      <c r="D50" s="323">
        <f t="shared" si="14"/>
        <v>29</v>
      </c>
      <c r="E50" s="323">
        <f t="shared" si="15"/>
        <v>3</v>
      </c>
      <c r="F50" s="348">
        <v>2</v>
      </c>
      <c r="G50" s="348">
        <v>10</v>
      </c>
      <c r="H50" s="348"/>
      <c r="I50" s="324">
        <f t="shared" si="0"/>
        <v>7</v>
      </c>
      <c r="J50" s="318">
        <f t="shared" si="1"/>
        <v>0</v>
      </c>
      <c r="K50" s="318">
        <f t="shared" si="2"/>
        <v>0</v>
      </c>
      <c r="L50" s="318">
        <f t="shared" si="3"/>
        <v>0</v>
      </c>
      <c r="M50" s="318">
        <f t="shared" si="4"/>
        <v>0</v>
      </c>
      <c r="N50" s="318">
        <f t="shared" si="5"/>
        <v>0</v>
      </c>
      <c r="O50" s="318">
        <f t="shared" si="6"/>
        <v>0</v>
      </c>
      <c r="P50" s="318">
        <f t="shared" si="7"/>
        <v>0</v>
      </c>
      <c r="Q50" s="318">
        <f t="shared" si="8"/>
        <v>0</v>
      </c>
      <c r="R50" s="318">
        <f t="shared" si="9"/>
        <v>7</v>
      </c>
      <c r="S50" s="318">
        <f t="shared" si="10"/>
        <v>0</v>
      </c>
      <c r="T50" s="318">
        <f t="shared" si="11"/>
        <v>0</v>
      </c>
    </row>
    <row r="51" spans="1:20">
      <c r="A51" s="323">
        <v>46</v>
      </c>
      <c r="B51" s="323">
        <f t="shared" si="17"/>
        <v>2021</v>
      </c>
      <c r="C51" s="323">
        <f t="shared" si="18"/>
        <v>6</v>
      </c>
      <c r="D51" s="323">
        <f t="shared" si="14"/>
        <v>29</v>
      </c>
      <c r="E51" s="323">
        <f t="shared" si="15"/>
        <v>2</v>
      </c>
      <c r="F51" s="348">
        <v>2</v>
      </c>
      <c r="G51" s="348">
        <v>10</v>
      </c>
      <c r="H51" s="348"/>
      <c r="I51" s="324">
        <f t="shared" si="0"/>
        <v>7</v>
      </c>
      <c r="J51" s="318">
        <f t="shared" si="1"/>
        <v>0</v>
      </c>
      <c r="K51" s="318">
        <f t="shared" si="2"/>
        <v>0</v>
      </c>
      <c r="L51" s="318">
        <f t="shared" si="3"/>
        <v>0</v>
      </c>
      <c r="M51" s="318">
        <f t="shared" si="4"/>
        <v>0</v>
      </c>
      <c r="N51" s="318">
        <f t="shared" si="5"/>
        <v>0</v>
      </c>
      <c r="O51" s="318">
        <f t="shared" si="6"/>
        <v>0</v>
      </c>
      <c r="P51" s="318">
        <f t="shared" si="7"/>
        <v>0</v>
      </c>
      <c r="Q51" s="318">
        <f t="shared" si="8"/>
        <v>0</v>
      </c>
      <c r="R51" s="318">
        <f t="shared" si="9"/>
        <v>7</v>
      </c>
      <c r="S51" s="318">
        <f t="shared" si="10"/>
        <v>0</v>
      </c>
      <c r="T51" s="318">
        <f t="shared" si="11"/>
        <v>0</v>
      </c>
    </row>
    <row r="52" spans="1:20">
      <c r="A52" s="323">
        <v>47</v>
      </c>
      <c r="B52" s="323">
        <f t="shared" si="17"/>
        <v>2021</v>
      </c>
      <c r="C52" s="323">
        <f t="shared" si="18"/>
        <v>5</v>
      </c>
      <c r="D52" s="323">
        <f t="shared" si="14"/>
        <v>29</v>
      </c>
      <c r="E52" s="323">
        <f t="shared" si="15"/>
        <v>1</v>
      </c>
      <c r="F52" s="348">
        <v>2</v>
      </c>
      <c r="G52" s="348">
        <v>10</v>
      </c>
      <c r="H52" s="348"/>
      <c r="I52" s="324">
        <f t="shared" si="0"/>
        <v>7</v>
      </c>
      <c r="J52" s="318">
        <f t="shared" si="1"/>
        <v>0</v>
      </c>
      <c r="K52" s="318">
        <f t="shared" si="2"/>
        <v>0</v>
      </c>
      <c r="L52" s="318">
        <f t="shared" si="3"/>
        <v>0</v>
      </c>
      <c r="M52" s="318">
        <f t="shared" si="4"/>
        <v>0</v>
      </c>
      <c r="N52" s="318">
        <f t="shared" si="5"/>
        <v>0</v>
      </c>
      <c r="O52" s="318">
        <f t="shared" si="6"/>
        <v>0</v>
      </c>
      <c r="P52" s="318">
        <f t="shared" si="7"/>
        <v>0</v>
      </c>
      <c r="Q52" s="318">
        <f t="shared" si="8"/>
        <v>0</v>
      </c>
      <c r="R52" s="318">
        <f t="shared" si="9"/>
        <v>7</v>
      </c>
      <c r="S52" s="318">
        <f t="shared" si="10"/>
        <v>0</v>
      </c>
      <c r="T52" s="318">
        <f t="shared" si="11"/>
        <v>0</v>
      </c>
    </row>
    <row r="53" spans="1:20">
      <c r="A53" s="323">
        <v>48</v>
      </c>
      <c r="B53" s="323">
        <f t="shared" si="17"/>
        <v>2021</v>
      </c>
      <c r="C53" s="323">
        <f t="shared" si="18"/>
        <v>4</v>
      </c>
      <c r="D53" s="323">
        <f t="shared" si="14"/>
        <v>29</v>
      </c>
      <c r="E53" s="323">
        <f t="shared" si="15"/>
        <v>0</v>
      </c>
      <c r="F53" s="348">
        <v>2</v>
      </c>
      <c r="G53" s="348">
        <v>10</v>
      </c>
      <c r="H53" s="348"/>
      <c r="I53" s="324">
        <f t="shared" si="0"/>
        <v>7</v>
      </c>
      <c r="J53" s="318">
        <f t="shared" si="1"/>
        <v>0</v>
      </c>
      <c r="K53" s="318">
        <f t="shared" si="2"/>
        <v>0</v>
      </c>
      <c r="L53" s="318">
        <f t="shared" si="3"/>
        <v>0</v>
      </c>
      <c r="M53" s="318">
        <f t="shared" si="4"/>
        <v>0</v>
      </c>
      <c r="N53" s="318">
        <f t="shared" si="5"/>
        <v>0</v>
      </c>
      <c r="O53" s="318">
        <f t="shared" si="6"/>
        <v>0</v>
      </c>
      <c r="P53" s="318">
        <f t="shared" si="7"/>
        <v>0</v>
      </c>
      <c r="Q53" s="318">
        <f t="shared" si="8"/>
        <v>0</v>
      </c>
      <c r="R53" s="318">
        <f t="shared" si="9"/>
        <v>7</v>
      </c>
      <c r="S53" s="318">
        <f t="shared" si="10"/>
        <v>0</v>
      </c>
      <c r="T53" s="318">
        <f t="shared" si="11"/>
        <v>0</v>
      </c>
    </row>
    <row r="54" spans="1:20">
      <c r="A54" s="323">
        <v>49</v>
      </c>
      <c r="B54" s="323">
        <f t="shared" si="17"/>
        <v>2021</v>
      </c>
      <c r="C54" s="323">
        <f t="shared" si="18"/>
        <v>3</v>
      </c>
      <c r="D54" s="323">
        <f t="shared" si="14"/>
        <v>28</v>
      </c>
      <c r="E54" s="323">
        <f t="shared" si="15"/>
        <v>11</v>
      </c>
      <c r="F54" s="348">
        <v>2</v>
      </c>
      <c r="G54" s="348">
        <v>10</v>
      </c>
      <c r="H54" s="348"/>
      <c r="I54" s="324">
        <f t="shared" si="0"/>
        <v>7</v>
      </c>
      <c r="J54" s="318">
        <f t="shared" si="1"/>
        <v>0</v>
      </c>
      <c r="K54" s="318">
        <f t="shared" si="2"/>
        <v>0</v>
      </c>
      <c r="L54" s="318">
        <f t="shared" si="3"/>
        <v>0</v>
      </c>
      <c r="M54" s="318">
        <f t="shared" si="4"/>
        <v>0</v>
      </c>
      <c r="N54" s="318">
        <f t="shared" si="5"/>
        <v>0</v>
      </c>
      <c r="O54" s="318">
        <f t="shared" si="6"/>
        <v>0</v>
      </c>
      <c r="P54" s="318">
        <f t="shared" si="7"/>
        <v>0</v>
      </c>
      <c r="Q54" s="318">
        <f t="shared" si="8"/>
        <v>0</v>
      </c>
      <c r="R54" s="318">
        <f t="shared" si="9"/>
        <v>7</v>
      </c>
      <c r="S54" s="318">
        <f t="shared" si="10"/>
        <v>0</v>
      </c>
      <c r="T54" s="318">
        <f t="shared" si="11"/>
        <v>0</v>
      </c>
    </row>
    <row r="55" spans="1:20">
      <c r="A55" s="323">
        <v>50</v>
      </c>
      <c r="B55" s="323">
        <f t="shared" si="17"/>
        <v>2021</v>
      </c>
      <c r="C55" s="323">
        <f t="shared" si="18"/>
        <v>2</v>
      </c>
      <c r="D55" s="323">
        <f t="shared" si="14"/>
        <v>28</v>
      </c>
      <c r="E55" s="323">
        <f t="shared" si="15"/>
        <v>10</v>
      </c>
      <c r="F55" s="348">
        <v>2</v>
      </c>
      <c r="G55" s="348">
        <v>10</v>
      </c>
      <c r="H55" s="348"/>
      <c r="I55" s="324">
        <f t="shared" si="0"/>
        <v>7</v>
      </c>
      <c r="J55" s="318">
        <f t="shared" si="1"/>
        <v>0</v>
      </c>
      <c r="K55" s="318">
        <f t="shared" si="2"/>
        <v>0</v>
      </c>
      <c r="L55" s="318">
        <f t="shared" si="3"/>
        <v>0</v>
      </c>
      <c r="M55" s="318">
        <f t="shared" si="4"/>
        <v>0</v>
      </c>
      <c r="N55" s="318">
        <f t="shared" si="5"/>
        <v>0</v>
      </c>
      <c r="O55" s="318">
        <f t="shared" si="6"/>
        <v>0</v>
      </c>
      <c r="P55" s="318">
        <f t="shared" si="7"/>
        <v>0</v>
      </c>
      <c r="Q55" s="318">
        <f t="shared" si="8"/>
        <v>0</v>
      </c>
      <c r="R55" s="318">
        <f t="shared" si="9"/>
        <v>7</v>
      </c>
      <c r="S55" s="318">
        <f t="shared" si="10"/>
        <v>0</v>
      </c>
      <c r="T55" s="318">
        <f t="shared" si="11"/>
        <v>0</v>
      </c>
    </row>
    <row r="56" spans="1:20">
      <c r="A56" s="323">
        <v>51</v>
      </c>
      <c r="B56" s="323">
        <f t="shared" si="17"/>
        <v>2021</v>
      </c>
      <c r="C56" s="323">
        <f t="shared" si="18"/>
        <v>1</v>
      </c>
      <c r="D56" s="323">
        <f t="shared" si="14"/>
        <v>28</v>
      </c>
      <c r="E56" s="323">
        <f t="shared" si="15"/>
        <v>9</v>
      </c>
      <c r="F56" s="348">
        <v>2</v>
      </c>
      <c r="G56" s="348">
        <v>10</v>
      </c>
      <c r="H56" s="348"/>
      <c r="I56" s="324">
        <f t="shared" si="0"/>
        <v>7</v>
      </c>
      <c r="J56" s="318">
        <f t="shared" si="1"/>
        <v>0</v>
      </c>
      <c r="K56" s="318">
        <f t="shared" si="2"/>
        <v>0</v>
      </c>
      <c r="L56" s="318">
        <f t="shared" si="3"/>
        <v>0</v>
      </c>
      <c r="M56" s="318">
        <f t="shared" si="4"/>
        <v>0</v>
      </c>
      <c r="N56" s="318">
        <f t="shared" si="5"/>
        <v>0</v>
      </c>
      <c r="O56" s="318">
        <f t="shared" si="6"/>
        <v>0</v>
      </c>
      <c r="P56" s="318">
        <f t="shared" si="7"/>
        <v>0</v>
      </c>
      <c r="Q56" s="318">
        <f t="shared" si="8"/>
        <v>0</v>
      </c>
      <c r="R56" s="318">
        <f t="shared" si="9"/>
        <v>7</v>
      </c>
      <c r="S56" s="318">
        <f t="shared" si="10"/>
        <v>0</v>
      </c>
      <c r="T56" s="318">
        <f t="shared" si="11"/>
        <v>0</v>
      </c>
    </row>
    <row r="57" spans="1:20">
      <c r="A57" s="323">
        <v>52</v>
      </c>
      <c r="B57" s="323">
        <f t="shared" si="17"/>
        <v>2020</v>
      </c>
      <c r="C57" s="323">
        <f t="shared" si="18"/>
        <v>12</v>
      </c>
      <c r="D57" s="323">
        <f t="shared" si="14"/>
        <v>28</v>
      </c>
      <c r="E57" s="323">
        <f t="shared" si="15"/>
        <v>8</v>
      </c>
      <c r="F57" s="348">
        <v>2</v>
      </c>
      <c r="G57" s="348">
        <v>10</v>
      </c>
      <c r="H57" s="348"/>
      <c r="I57" s="324">
        <f t="shared" si="0"/>
        <v>7</v>
      </c>
      <c r="J57" s="318">
        <f t="shared" si="1"/>
        <v>0</v>
      </c>
      <c r="K57" s="318">
        <f t="shared" si="2"/>
        <v>0</v>
      </c>
      <c r="L57" s="318">
        <f t="shared" si="3"/>
        <v>0</v>
      </c>
      <c r="M57" s="318">
        <f t="shared" si="4"/>
        <v>0</v>
      </c>
      <c r="N57" s="318">
        <f t="shared" si="5"/>
        <v>0</v>
      </c>
      <c r="O57" s="318">
        <f t="shared" si="6"/>
        <v>0</v>
      </c>
      <c r="P57" s="318">
        <f t="shared" si="7"/>
        <v>0</v>
      </c>
      <c r="Q57" s="318">
        <f t="shared" si="8"/>
        <v>0</v>
      </c>
      <c r="R57" s="318">
        <f t="shared" si="9"/>
        <v>7</v>
      </c>
      <c r="S57" s="318">
        <f t="shared" si="10"/>
        <v>0</v>
      </c>
      <c r="T57" s="318">
        <f t="shared" si="11"/>
        <v>0</v>
      </c>
    </row>
    <row r="58" spans="1:20">
      <c r="A58" s="323">
        <v>53</v>
      </c>
      <c r="B58" s="323">
        <f t="shared" si="17"/>
        <v>2020</v>
      </c>
      <c r="C58" s="323">
        <f t="shared" si="18"/>
        <v>11</v>
      </c>
      <c r="D58" s="323">
        <f t="shared" si="14"/>
        <v>28</v>
      </c>
      <c r="E58" s="323">
        <f t="shared" si="15"/>
        <v>7</v>
      </c>
      <c r="F58" s="348">
        <v>2</v>
      </c>
      <c r="G58" s="348">
        <v>10</v>
      </c>
      <c r="H58" s="348"/>
      <c r="I58" s="324">
        <f t="shared" si="0"/>
        <v>7</v>
      </c>
      <c r="J58" s="318">
        <f t="shared" si="1"/>
        <v>0</v>
      </c>
      <c r="K58" s="318">
        <f t="shared" si="2"/>
        <v>0</v>
      </c>
      <c r="L58" s="318">
        <f t="shared" si="3"/>
        <v>0</v>
      </c>
      <c r="M58" s="318">
        <f t="shared" si="4"/>
        <v>0</v>
      </c>
      <c r="N58" s="318">
        <f t="shared" si="5"/>
        <v>0</v>
      </c>
      <c r="O58" s="318">
        <f t="shared" si="6"/>
        <v>0</v>
      </c>
      <c r="P58" s="318">
        <f t="shared" si="7"/>
        <v>0</v>
      </c>
      <c r="Q58" s="318">
        <f t="shared" si="8"/>
        <v>0</v>
      </c>
      <c r="R58" s="318">
        <f t="shared" si="9"/>
        <v>7</v>
      </c>
      <c r="S58" s="318">
        <f t="shared" si="10"/>
        <v>0</v>
      </c>
      <c r="T58" s="318">
        <f t="shared" si="11"/>
        <v>0</v>
      </c>
    </row>
    <row r="59" spans="1:20">
      <c r="A59" s="323">
        <v>54</v>
      </c>
      <c r="B59" s="323">
        <f t="shared" si="17"/>
        <v>2020</v>
      </c>
      <c r="C59" s="323">
        <f t="shared" si="18"/>
        <v>10</v>
      </c>
      <c r="D59" s="323">
        <f t="shared" si="14"/>
        <v>28</v>
      </c>
      <c r="E59" s="323">
        <f t="shared" si="15"/>
        <v>6</v>
      </c>
      <c r="F59" s="348">
        <v>2</v>
      </c>
      <c r="G59" s="348">
        <v>10</v>
      </c>
      <c r="H59" s="348"/>
      <c r="I59" s="324">
        <f t="shared" si="0"/>
        <v>7</v>
      </c>
      <c r="J59" s="318">
        <f t="shared" si="1"/>
        <v>0</v>
      </c>
      <c r="K59" s="318">
        <f t="shared" si="2"/>
        <v>0</v>
      </c>
      <c r="L59" s="318">
        <f t="shared" si="3"/>
        <v>0</v>
      </c>
      <c r="M59" s="318">
        <f t="shared" si="4"/>
        <v>0</v>
      </c>
      <c r="N59" s="318">
        <f t="shared" si="5"/>
        <v>0</v>
      </c>
      <c r="O59" s="318">
        <f t="shared" si="6"/>
        <v>0</v>
      </c>
      <c r="P59" s="318">
        <f t="shared" si="7"/>
        <v>0</v>
      </c>
      <c r="Q59" s="318">
        <f t="shared" si="8"/>
        <v>0</v>
      </c>
      <c r="R59" s="318">
        <f t="shared" si="9"/>
        <v>7</v>
      </c>
      <c r="S59" s="318">
        <f t="shared" si="10"/>
        <v>0</v>
      </c>
      <c r="T59" s="318">
        <f t="shared" si="11"/>
        <v>0</v>
      </c>
    </row>
    <row r="60" spans="1:20">
      <c r="A60" s="323">
        <v>55</v>
      </c>
      <c r="B60" s="323">
        <f t="shared" si="17"/>
        <v>2020</v>
      </c>
      <c r="C60" s="323">
        <f t="shared" si="18"/>
        <v>9</v>
      </c>
      <c r="D60" s="323">
        <f t="shared" si="14"/>
        <v>28</v>
      </c>
      <c r="E60" s="323">
        <f t="shared" si="15"/>
        <v>5</v>
      </c>
      <c r="F60" s="348">
        <v>2</v>
      </c>
      <c r="G60" s="348">
        <v>10</v>
      </c>
      <c r="H60" s="348"/>
      <c r="I60" s="324">
        <f t="shared" si="0"/>
        <v>7</v>
      </c>
      <c r="J60" s="318">
        <f t="shared" si="1"/>
        <v>0</v>
      </c>
      <c r="K60" s="318">
        <f t="shared" si="2"/>
        <v>0</v>
      </c>
      <c r="L60" s="318">
        <f t="shared" si="3"/>
        <v>0</v>
      </c>
      <c r="M60" s="318">
        <f t="shared" si="4"/>
        <v>0</v>
      </c>
      <c r="N60" s="318">
        <f t="shared" si="5"/>
        <v>0</v>
      </c>
      <c r="O60" s="318">
        <f t="shared" si="6"/>
        <v>0</v>
      </c>
      <c r="P60" s="318">
        <f t="shared" si="7"/>
        <v>0</v>
      </c>
      <c r="Q60" s="318">
        <f t="shared" si="8"/>
        <v>0</v>
      </c>
      <c r="R60" s="318">
        <f t="shared" si="9"/>
        <v>7</v>
      </c>
      <c r="S60" s="318">
        <f t="shared" si="10"/>
        <v>0</v>
      </c>
      <c r="T60" s="318">
        <f t="shared" si="11"/>
        <v>0</v>
      </c>
    </row>
    <row r="61" spans="1:20">
      <c r="A61" s="323">
        <v>56</v>
      </c>
      <c r="B61" s="323">
        <f t="shared" si="17"/>
        <v>2020</v>
      </c>
      <c r="C61" s="323">
        <f t="shared" si="18"/>
        <v>8</v>
      </c>
      <c r="D61" s="323">
        <f t="shared" si="14"/>
        <v>28</v>
      </c>
      <c r="E61" s="323">
        <f t="shared" si="15"/>
        <v>4</v>
      </c>
      <c r="F61" s="348">
        <v>2</v>
      </c>
      <c r="G61" s="348">
        <v>10</v>
      </c>
      <c r="H61" s="348"/>
      <c r="I61" s="324">
        <f t="shared" si="0"/>
        <v>7</v>
      </c>
      <c r="J61" s="318">
        <f t="shared" si="1"/>
        <v>0</v>
      </c>
      <c r="K61" s="318">
        <f t="shared" si="2"/>
        <v>0</v>
      </c>
      <c r="L61" s="318">
        <f t="shared" si="3"/>
        <v>0</v>
      </c>
      <c r="M61" s="318">
        <f t="shared" si="4"/>
        <v>0</v>
      </c>
      <c r="N61" s="318">
        <f t="shared" si="5"/>
        <v>0</v>
      </c>
      <c r="O61" s="318">
        <f t="shared" si="6"/>
        <v>0</v>
      </c>
      <c r="P61" s="318">
        <f t="shared" si="7"/>
        <v>0</v>
      </c>
      <c r="Q61" s="318">
        <f t="shared" si="8"/>
        <v>0</v>
      </c>
      <c r="R61" s="318">
        <f t="shared" si="9"/>
        <v>7</v>
      </c>
      <c r="S61" s="318">
        <f t="shared" si="10"/>
        <v>0</v>
      </c>
      <c r="T61" s="318">
        <f t="shared" si="11"/>
        <v>0</v>
      </c>
    </row>
    <row r="62" spans="1:20">
      <c r="A62" s="323">
        <v>57</v>
      </c>
      <c r="B62" s="323">
        <f t="shared" si="17"/>
        <v>2020</v>
      </c>
      <c r="C62" s="323">
        <f t="shared" si="18"/>
        <v>7</v>
      </c>
      <c r="D62" s="323">
        <f t="shared" si="14"/>
        <v>28</v>
      </c>
      <c r="E62" s="323">
        <f t="shared" si="15"/>
        <v>3</v>
      </c>
      <c r="F62" s="348">
        <v>2</v>
      </c>
      <c r="G62" s="348">
        <v>10</v>
      </c>
      <c r="H62" s="348"/>
      <c r="I62" s="324">
        <f t="shared" si="0"/>
        <v>7</v>
      </c>
      <c r="J62" s="318">
        <f t="shared" si="1"/>
        <v>0</v>
      </c>
      <c r="K62" s="318">
        <f t="shared" si="2"/>
        <v>0</v>
      </c>
      <c r="L62" s="318">
        <f t="shared" si="3"/>
        <v>0</v>
      </c>
      <c r="M62" s="318">
        <f t="shared" si="4"/>
        <v>0</v>
      </c>
      <c r="N62" s="318">
        <f t="shared" si="5"/>
        <v>0</v>
      </c>
      <c r="O62" s="318">
        <f t="shared" si="6"/>
        <v>0</v>
      </c>
      <c r="P62" s="318">
        <f t="shared" si="7"/>
        <v>0</v>
      </c>
      <c r="Q62" s="318">
        <f t="shared" si="8"/>
        <v>0</v>
      </c>
      <c r="R62" s="318">
        <f t="shared" si="9"/>
        <v>7</v>
      </c>
      <c r="S62" s="318">
        <f t="shared" si="10"/>
        <v>0</v>
      </c>
      <c r="T62" s="318">
        <f t="shared" si="11"/>
        <v>0</v>
      </c>
    </row>
    <row r="63" spans="1:20">
      <c r="A63" s="323">
        <v>58</v>
      </c>
      <c r="B63" s="323">
        <f t="shared" si="17"/>
        <v>2020</v>
      </c>
      <c r="C63" s="323">
        <f t="shared" si="18"/>
        <v>6</v>
      </c>
      <c r="D63" s="323">
        <f t="shared" si="14"/>
        <v>28</v>
      </c>
      <c r="E63" s="323">
        <f t="shared" si="15"/>
        <v>2</v>
      </c>
      <c r="F63" s="348">
        <v>2</v>
      </c>
      <c r="G63" s="348">
        <v>10</v>
      </c>
      <c r="H63" s="348"/>
      <c r="I63" s="324">
        <f t="shared" si="0"/>
        <v>7</v>
      </c>
      <c r="J63" s="318">
        <f t="shared" si="1"/>
        <v>0</v>
      </c>
      <c r="K63" s="318">
        <f t="shared" si="2"/>
        <v>0</v>
      </c>
      <c r="L63" s="318">
        <f t="shared" si="3"/>
        <v>0</v>
      </c>
      <c r="M63" s="318">
        <f t="shared" si="4"/>
        <v>0</v>
      </c>
      <c r="N63" s="318">
        <f t="shared" si="5"/>
        <v>0</v>
      </c>
      <c r="O63" s="318">
        <f t="shared" si="6"/>
        <v>0</v>
      </c>
      <c r="P63" s="318">
        <f t="shared" si="7"/>
        <v>0</v>
      </c>
      <c r="Q63" s="318">
        <f t="shared" si="8"/>
        <v>0</v>
      </c>
      <c r="R63" s="318">
        <f t="shared" si="9"/>
        <v>7</v>
      </c>
      <c r="S63" s="318">
        <f t="shared" si="10"/>
        <v>0</v>
      </c>
      <c r="T63" s="318">
        <f t="shared" si="11"/>
        <v>0</v>
      </c>
    </row>
    <row r="64" spans="1:20">
      <c r="A64" s="323">
        <v>59</v>
      </c>
      <c r="B64" s="323">
        <f t="shared" si="17"/>
        <v>2020</v>
      </c>
      <c r="C64" s="323">
        <f t="shared" si="18"/>
        <v>5</v>
      </c>
      <c r="D64" s="323">
        <f t="shared" si="14"/>
        <v>28</v>
      </c>
      <c r="E64" s="323">
        <f t="shared" si="15"/>
        <v>1</v>
      </c>
      <c r="F64" s="348">
        <v>2</v>
      </c>
      <c r="G64" s="348">
        <v>10</v>
      </c>
      <c r="H64" s="348"/>
      <c r="I64" s="324">
        <f t="shared" si="0"/>
        <v>7</v>
      </c>
      <c r="J64" s="318">
        <f t="shared" si="1"/>
        <v>0</v>
      </c>
      <c r="K64" s="318">
        <f t="shared" si="2"/>
        <v>0</v>
      </c>
      <c r="L64" s="318">
        <f t="shared" si="3"/>
        <v>0</v>
      </c>
      <c r="M64" s="318">
        <f t="shared" si="4"/>
        <v>0</v>
      </c>
      <c r="N64" s="318">
        <f t="shared" si="5"/>
        <v>0</v>
      </c>
      <c r="O64" s="318">
        <f t="shared" si="6"/>
        <v>0</v>
      </c>
      <c r="P64" s="318">
        <f t="shared" si="7"/>
        <v>0</v>
      </c>
      <c r="Q64" s="318">
        <f t="shared" si="8"/>
        <v>0</v>
      </c>
      <c r="R64" s="318">
        <f t="shared" si="9"/>
        <v>7</v>
      </c>
      <c r="S64" s="318">
        <f t="shared" si="10"/>
        <v>0</v>
      </c>
      <c r="T64" s="318">
        <f t="shared" si="11"/>
        <v>0</v>
      </c>
    </row>
    <row r="65" spans="1:20">
      <c r="A65" s="323">
        <v>60</v>
      </c>
      <c r="B65" s="323">
        <f t="shared" si="17"/>
        <v>2020</v>
      </c>
      <c r="C65" s="323">
        <f t="shared" si="18"/>
        <v>4</v>
      </c>
      <c r="D65" s="323">
        <f t="shared" si="14"/>
        <v>28</v>
      </c>
      <c r="E65" s="323">
        <f t="shared" si="15"/>
        <v>0</v>
      </c>
      <c r="F65" s="348">
        <v>2</v>
      </c>
      <c r="G65" s="348">
        <v>10</v>
      </c>
      <c r="H65" s="348"/>
      <c r="I65" s="324">
        <f t="shared" si="0"/>
        <v>7</v>
      </c>
      <c r="J65" s="318">
        <f t="shared" si="1"/>
        <v>0</v>
      </c>
      <c r="K65" s="318">
        <f t="shared" si="2"/>
        <v>0</v>
      </c>
      <c r="L65" s="318">
        <f t="shared" si="3"/>
        <v>0</v>
      </c>
      <c r="M65" s="318">
        <f t="shared" si="4"/>
        <v>0</v>
      </c>
      <c r="N65" s="318">
        <f t="shared" si="5"/>
        <v>0</v>
      </c>
      <c r="O65" s="318">
        <f t="shared" si="6"/>
        <v>0</v>
      </c>
      <c r="P65" s="318">
        <f t="shared" si="7"/>
        <v>0</v>
      </c>
      <c r="Q65" s="318">
        <f t="shared" si="8"/>
        <v>0</v>
      </c>
      <c r="R65" s="318">
        <f t="shared" si="9"/>
        <v>7</v>
      </c>
      <c r="S65" s="318">
        <f t="shared" si="10"/>
        <v>0</v>
      </c>
      <c r="T65" s="318">
        <f t="shared" si="11"/>
        <v>0</v>
      </c>
    </row>
    <row r="66" spans="1:20">
      <c r="A66" s="323">
        <v>61</v>
      </c>
      <c r="B66" s="323">
        <f t="shared" si="17"/>
        <v>2020</v>
      </c>
      <c r="C66" s="323">
        <f t="shared" si="18"/>
        <v>3</v>
      </c>
      <c r="D66" s="323">
        <f t="shared" si="14"/>
        <v>27</v>
      </c>
      <c r="E66" s="323">
        <f t="shared" si="15"/>
        <v>11</v>
      </c>
      <c r="F66" s="348">
        <v>2</v>
      </c>
      <c r="G66" s="348">
        <v>10</v>
      </c>
      <c r="H66" s="348"/>
      <c r="I66" s="324">
        <f t="shared" si="0"/>
        <v>7</v>
      </c>
      <c r="J66" s="318">
        <f t="shared" si="1"/>
        <v>0</v>
      </c>
      <c r="K66" s="318">
        <f t="shared" si="2"/>
        <v>0</v>
      </c>
      <c r="L66" s="318">
        <f t="shared" si="3"/>
        <v>0</v>
      </c>
      <c r="M66" s="318">
        <f t="shared" si="4"/>
        <v>0</v>
      </c>
      <c r="N66" s="318">
        <f t="shared" si="5"/>
        <v>0</v>
      </c>
      <c r="O66" s="318">
        <f t="shared" si="6"/>
        <v>0</v>
      </c>
      <c r="P66" s="318">
        <f t="shared" si="7"/>
        <v>0</v>
      </c>
      <c r="Q66" s="318">
        <f t="shared" si="8"/>
        <v>0</v>
      </c>
      <c r="R66" s="318">
        <f t="shared" si="9"/>
        <v>7</v>
      </c>
      <c r="S66" s="318">
        <f t="shared" si="10"/>
        <v>0</v>
      </c>
      <c r="T66" s="318">
        <f t="shared" si="11"/>
        <v>0</v>
      </c>
    </row>
    <row r="67" spans="1:20">
      <c r="A67" s="323">
        <v>62</v>
      </c>
      <c r="B67" s="323">
        <f t="shared" si="17"/>
        <v>2020</v>
      </c>
      <c r="C67" s="323">
        <f t="shared" si="18"/>
        <v>2</v>
      </c>
      <c r="D67" s="323">
        <f t="shared" si="14"/>
        <v>27</v>
      </c>
      <c r="E67" s="323">
        <f t="shared" si="15"/>
        <v>10</v>
      </c>
      <c r="F67" s="348">
        <v>2</v>
      </c>
      <c r="G67" s="348">
        <v>10</v>
      </c>
      <c r="H67" s="348"/>
      <c r="I67" s="324">
        <f t="shared" si="0"/>
        <v>7</v>
      </c>
      <c r="J67" s="318">
        <f t="shared" si="1"/>
        <v>0</v>
      </c>
      <c r="K67" s="318">
        <f t="shared" si="2"/>
        <v>0</v>
      </c>
      <c r="L67" s="318">
        <f t="shared" si="3"/>
        <v>0</v>
      </c>
      <c r="M67" s="318">
        <f t="shared" si="4"/>
        <v>0</v>
      </c>
      <c r="N67" s="318">
        <f t="shared" si="5"/>
        <v>0</v>
      </c>
      <c r="O67" s="318">
        <f t="shared" si="6"/>
        <v>0</v>
      </c>
      <c r="P67" s="318">
        <f t="shared" si="7"/>
        <v>0</v>
      </c>
      <c r="Q67" s="318">
        <f t="shared" si="8"/>
        <v>0</v>
      </c>
      <c r="R67" s="318">
        <f t="shared" si="9"/>
        <v>7</v>
      </c>
      <c r="S67" s="318">
        <f t="shared" si="10"/>
        <v>0</v>
      </c>
      <c r="T67" s="318">
        <f t="shared" si="11"/>
        <v>0</v>
      </c>
    </row>
    <row r="68" spans="1:20">
      <c r="A68" s="323">
        <v>63</v>
      </c>
      <c r="B68" s="323">
        <f t="shared" si="17"/>
        <v>2020</v>
      </c>
      <c r="C68" s="323">
        <f t="shared" si="18"/>
        <v>1</v>
      </c>
      <c r="D68" s="323">
        <f t="shared" si="14"/>
        <v>27</v>
      </c>
      <c r="E68" s="323">
        <f t="shared" si="15"/>
        <v>9</v>
      </c>
      <c r="F68" s="348">
        <v>2</v>
      </c>
      <c r="G68" s="348">
        <v>10</v>
      </c>
      <c r="H68" s="348"/>
      <c r="I68" s="324">
        <f t="shared" si="0"/>
        <v>7</v>
      </c>
      <c r="J68" s="318">
        <f t="shared" si="1"/>
        <v>0</v>
      </c>
      <c r="K68" s="318">
        <f t="shared" si="2"/>
        <v>0</v>
      </c>
      <c r="L68" s="318">
        <f t="shared" si="3"/>
        <v>0</v>
      </c>
      <c r="M68" s="318">
        <f t="shared" si="4"/>
        <v>0</v>
      </c>
      <c r="N68" s="318">
        <f t="shared" si="5"/>
        <v>0</v>
      </c>
      <c r="O68" s="318">
        <f t="shared" si="6"/>
        <v>0</v>
      </c>
      <c r="P68" s="318">
        <f t="shared" si="7"/>
        <v>0</v>
      </c>
      <c r="Q68" s="318">
        <f t="shared" si="8"/>
        <v>0</v>
      </c>
      <c r="R68" s="318">
        <f t="shared" si="9"/>
        <v>7</v>
      </c>
      <c r="S68" s="318">
        <f t="shared" si="10"/>
        <v>0</v>
      </c>
      <c r="T68" s="318">
        <f t="shared" si="11"/>
        <v>0</v>
      </c>
    </row>
    <row r="69" spans="1:20">
      <c r="A69" s="323">
        <v>64</v>
      </c>
      <c r="B69" s="323">
        <f t="shared" si="17"/>
        <v>2019</v>
      </c>
      <c r="C69" s="323">
        <f t="shared" si="18"/>
        <v>12</v>
      </c>
      <c r="D69" s="323">
        <f t="shared" si="14"/>
        <v>27</v>
      </c>
      <c r="E69" s="323">
        <f t="shared" si="15"/>
        <v>8</v>
      </c>
      <c r="F69" s="348">
        <v>2</v>
      </c>
      <c r="G69" s="348">
        <v>10</v>
      </c>
      <c r="H69" s="348"/>
      <c r="I69" s="324">
        <f t="shared" si="0"/>
        <v>7</v>
      </c>
      <c r="J69" s="318">
        <f t="shared" si="1"/>
        <v>0</v>
      </c>
      <c r="K69" s="318">
        <f t="shared" si="2"/>
        <v>0</v>
      </c>
      <c r="L69" s="318">
        <f t="shared" si="3"/>
        <v>0</v>
      </c>
      <c r="M69" s="318">
        <f t="shared" si="4"/>
        <v>0</v>
      </c>
      <c r="N69" s="318">
        <f t="shared" si="5"/>
        <v>0</v>
      </c>
      <c r="O69" s="318">
        <f t="shared" si="6"/>
        <v>0</v>
      </c>
      <c r="P69" s="318">
        <f t="shared" si="7"/>
        <v>0</v>
      </c>
      <c r="Q69" s="318">
        <f t="shared" si="8"/>
        <v>0</v>
      </c>
      <c r="R69" s="318">
        <f t="shared" si="9"/>
        <v>7</v>
      </c>
      <c r="S69" s="318">
        <f t="shared" si="10"/>
        <v>0</v>
      </c>
      <c r="T69" s="318">
        <f t="shared" si="11"/>
        <v>0</v>
      </c>
    </row>
    <row r="70" spans="1:20">
      <c r="A70" s="323">
        <v>65</v>
      </c>
      <c r="B70" s="323">
        <f t="shared" si="17"/>
        <v>2019</v>
      </c>
      <c r="C70" s="323">
        <f t="shared" si="18"/>
        <v>11</v>
      </c>
      <c r="D70" s="323">
        <f t="shared" si="14"/>
        <v>27</v>
      </c>
      <c r="E70" s="323">
        <f t="shared" si="15"/>
        <v>7</v>
      </c>
      <c r="F70" s="348">
        <v>2</v>
      </c>
      <c r="G70" s="348">
        <v>10</v>
      </c>
      <c r="H70" s="348"/>
      <c r="I70" s="324">
        <f t="shared" si="0"/>
        <v>7</v>
      </c>
      <c r="J70" s="318">
        <f t="shared" si="1"/>
        <v>0</v>
      </c>
      <c r="K70" s="318">
        <f t="shared" si="2"/>
        <v>0</v>
      </c>
      <c r="L70" s="318">
        <f t="shared" si="3"/>
        <v>0</v>
      </c>
      <c r="M70" s="318">
        <f t="shared" si="4"/>
        <v>0</v>
      </c>
      <c r="N70" s="318">
        <f t="shared" si="5"/>
        <v>0</v>
      </c>
      <c r="O70" s="318">
        <f t="shared" si="6"/>
        <v>0</v>
      </c>
      <c r="P70" s="318">
        <f t="shared" si="7"/>
        <v>0</v>
      </c>
      <c r="Q70" s="318">
        <f t="shared" si="8"/>
        <v>0</v>
      </c>
      <c r="R70" s="318">
        <f t="shared" si="9"/>
        <v>7</v>
      </c>
      <c r="S70" s="318">
        <f t="shared" si="10"/>
        <v>0</v>
      </c>
      <c r="T70" s="318">
        <f t="shared" si="11"/>
        <v>0</v>
      </c>
    </row>
    <row r="71" spans="1:20">
      <c r="A71" s="323">
        <v>66</v>
      </c>
      <c r="B71" s="323">
        <f t="shared" si="17"/>
        <v>2019</v>
      </c>
      <c r="C71" s="323">
        <f t="shared" si="18"/>
        <v>10</v>
      </c>
      <c r="D71" s="323">
        <f t="shared" si="14"/>
        <v>27</v>
      </c>
      <c r="E71" s="323">
        <f t="shared" si="15"/>
        <v>6</v>
      </c>
      <c r="F71" s="348">
        <v>2</v>
      </c>
      <c r="G71" s="348">
        <v>10</v>
      </c>
      <c r="H71" s="348"/>
      <c r="I71" s="324">
        <f t="shared" ref="I71:I77" si="19">MAX(J71:T71)</f>
        <v>7</v>
      </c>
      <c r="J71" s="318">
        <f t="shared" ref="J71:J77" si="20">IF(AND(F71=4,G71=20),3,0)</f>
        <v>0</v>
      </c>
      <c r="K71" s="318">
        <f t="shared" ref="K71:K77" si="21">IF(AND(F71=4,G71=15,H71&gt;=14),4,0)</f>
        <v>0</v>
      </c>
      <c r="L71" s="318">
        <f t="shared" ref="L71:L77" si="22">IF(AND(F71=4,OR(AND(G71=15,H71&gt;=14,K71=0),AND(G71=15,H71&lt;=14,K71=0))),5,0)</f>
        <v>0</v>
      </c>
      <c r="M71" s="318">
        <f t="shared" ref="M71:M77" si="23">IF(AND(F71=3,G71=15),5,0)</f>
        <v>0</v>
      </c>
      <c r="N71" s="318">
        <f t="shared" ref="N71:N77" si="24">IF(AND(F71=3,M71=0),6,0)</f>
        <v>0</v>
      </c>
      <c r="O71" s="318">
        <f t="shared" ref="O71:O77" si="25">IF(OR(AND($Z$12=1,F72="特2",D72&gt;=26),AND($Z$12=2,F72="特2",D72&gt;=28),AND($Z$12=3,F72="特2",D72&gt;=30)),6,0)</f>
        <v>0</v>
      </c>
      <c r="P71" s="318">
        <f t="shared" ref="P71:P77" si="26">IF(OR(AND($Z$12=1,F71=2,G71=10,D71&gt;=35),AND($Z$12=2,F71=2,G71=10,D71&gt;=37),AND($Z$12=33,F71=2,G71=10,D71&gt;=39)),6,0)</f>
        <v>0</v>
      </c>
      <c r="Q71" s="318">
        <f t="shared" ref="Q71:Q77" si="27">IF(AND(F71="特2",O71=0),7,0)</f>
        <v>0</v>
      </c>
      <c r="R71" s="318">
        <f t="shared" ref="R71:R77" si="28">IF(OR(AND($Z$12=1,F71=2,G71=10,D71&gt;=26,D71&lt;35),AND($Z$12=2,F71=2,G71=10,D71&gt;=28,D71&lt;37),AND($Z$12=3,F71=2,G71=10,D71&gt;=30,D71&lt;39)),7,0)</f>
        <v>7</v>
      </c>
      <c r="S71" s="318">
        <f t="shared" ref="S71:S77" si="29">IF(OR(AND($Z$12=1,F71=2,G71=5,D71&gt;=9,D71&lt;26),AND($Z$12=2,F71=2,G71=5,D71&gt;=11,D71&lt;28),AND($Z$12=3,F71=2,G71=5,D71&gt;=13,D71&lt;30)),8,0)</f>
        <v>0</v>
      </c>
      <c r="T71" s="318">
        <f t="shared" ref="T71:T77" si="30">IF(OR(AND($Z$12=1,F71=1,G71=5,D71&gt;=14),AND($Z$12=2,F71=1,G71=5,D71&gt;=16),,AND($Z$12=3,F71=1,G71=5,D71&gt;=18)),8,0)</f>
        <v>0</v>
      </c>
    </row>
    <row r="72" spans="1:20">
      <c r="A72" s="323">
        <v>67</v>
      </c>
      <c r="B72" s="323">
        <f t="shared" si="17"/>
        <v>2019</v>
      </c>
      <c r="C72" s="323">
        <f t="shared" si="18"/>
        <v>9</v>
      </c>
      <c r="D72" s="323">
        <f t="shared" ref="D72:D77" si="31">IF(E71=0,D71-1,D71)</f>
        <v>27</v>
      </c>
      <c r="E72" s="323">
        <f t="shared" ref="E72:E77" si="32">IF(E71=0,11,E71-1)</f>
        <v>5</v>
      </c>
      <c r="F72" s="348">
        <v>2</v>
      </c>
      <c r="G72" s="348">
        <v>10</v>
      </c>
      <c r="H72" s="348"/>
      <c r="I72" s="324">
        <f t="shared" si="19"/>
        <v>7</v>
      </c>
      <c r="J72" s="318">
        <f t="shared" si="20"/>
        <v>0</v>
      </c>
      <c r="K72" s="318">
        <f t="shared" si="21"/>
        <v>0</v>
      </c>
      <c r="L72" s="318">
        <f t="shared" si="22"/>
        <v>0</v>
      </c>
      <c r="M72" s="318">
        <f t="shared" si="23"/>
        <v>0</v>
      </c>
      <c r="N72" s="318">
        <f t="shared" si="24"/>
        <v>0</v>
      </c>
      <c r="O72" s="318">
        <f t="shared" si="25"/>
        <v>0</v>
      </c>
      <c r="P72" s="318">
        <f t="shared" si="26"/>
        <v>0</v>
      </c>
      <c r="Q72" s="318">
        <f t="shared" si="27"/>
        <v>0</v>
      </c>
      <c r="R72" s="318">
        <f t="shared" si="28"/>
        <v>7</v>
      </c>
      <c r="S72" s="318">
        <f t="shared" si="29"/>
        <v>0</v>
      </c>
      <c r="T72" s="318">
        <f t="shared" si="30"/>
        <v>0</v>
      </c>
    </row>
    <row r="73" spans="1:20">
      <c r="A73" s="323">
        <v>68</v>
      </c>
      <c r="B73" s="323">
        <f t="shared" si="17"/>
        <v>2019</v>
      </c>
      <c r="C73" s="323">
        <f t="shared" si="18"/>
        <v>8</v>
      </c>
      <c r="D73" s="323">
        <f t="shared" si="31"/>
        <v>27</v>
      </c>
      <c r="E73" s="323">
        <f t="shared" si="32"/>
        <v>4</v>
      </c>
      <c r="F73" s="348">
        <v>2</v>
      </c>
      <c r="G73" s="348">
        <v>10</v>
      </c>
      <c r="H73" s="348"/>
      <c r="I73" s="324">
        <f t="shared" si="19"/>
        <v>7</v>
      </c>
      <c r="J73" s="318">
        <f t="shared" si="20"/>
        <v>0</v>
      </c>
      <c r="K73" s="318">
        <f t="shared" si="21"/>
        <v>0</v>
      </c>
      <c r="L73" s="318">
        <f t="shared" si="22"/>
        <v>0</v>
      </c>
      <c r="M73" s="318">
        <f t="shared" si="23"/>
        <v>0</v>
      </c>
      <c r="N73" s="318">
        <f t="shared" si="24"/>
        <v>0</v>
      </c>
      <c r="O73" s="318">
        <f t="shared" si="25"/>
        <v>0</v>
      </c>
      <c r="P73" s="318">
        <f t="shared" si="26"/>
        <v>0</v>
      </c>
      <c r="Q73" s="318">
        <f t="shared" si="27"/>
        <v>0</v>
      </c>
      <c r="R73" s="318">
        <f t="shared" si="28"/>
        <v>7</v>
      </c>
      <c r="S73" s="318">
        <f t="shared" si="29"/>
        <v>0</v>
      </c>
      <c r="T73" s="318">
        <f t="shared" si="30"/>
        <v>0</v>
      </c>
    </row>
    <row r="74" spans="1:20">
      <c r="A74" s="323">
        <v>69</v>
      </c>
      <c r="B74" s="323">
        <f t="shared" si="17"/>
        <v>2019</v>
      </c>
      <c r="C74" s="323">
        <f t="shared" si="18"/>
        <v>7</v>
      </c>
      <c r="D74" s="323">
        <f t="shared" si="31"/>
        <v>27</v>
      </c>
      <c r="E74" s="323">
        <f t="shared" si="32"/>
        <v>3</v>
      </c>
      <c r="F74" s="348">
        <v>2</v>
      </c>
      <c r="G74" s="348">
        <v>10</v>
      </c>
      <c r="H74" s="348"/>
      <c r="I74" s="324">
        <f t="shared" si="19"/>
        <v>7</v>
      </c>
      <c r="J74" s="318">
        <f t="shared" si="20"/>
        <v>0</v>
      </c>
      <c r="K74" s="318">
        <f t="shared" si="21"/>
        <v>0</v>
      </c>
      <c r="L74" s="318">
        <f t="shared" si="22"/>
        <v>0</v>
      </c>
      <c r="M74" s="318">
        <f t="shared" si="23"/>
        <v>0</v>
      </c>
      <c r="N74" s="318">
        <f t="shared" si="24"/>
        <v>0</v>
      </c>
      <c r="O74" s="318">
        <f t="shared" si="25"/>
        <v>0</v>
      </c>
      <c r="P74" s="318">
        <f t="shared" si="26"/>
        <v>0</v>
      </c>
      <c r="Q74" s="318">
        <f t="shared" si="27"/>
        <v>0</v>
      </c>
      <c r="R74" s="318">
        <f t="shared" si="28"/>
        <v>7</v>
      </c>
      <c r="S74" s="318">
        <f t="shared" si="29"/>
        <v>0</v>
      </c>
      <c r="T74" s="318">
        <f t="shared" si="30"/>
        <v>0</v>
      </c>
    </row>
    <row r="75" spans="1:20">
      <c r="A75" s="323">
        <v>70</v>
      </c>
      <c r="B75" s="323">
        <f t="shared" si="17"/>
        <v>2019</v>
      </c>
      <c r="C75" s="323">
        <f t="shared" si="18"/>
        <v>6</v>
      </c>
      <c r="D75" s="323">
        <f t="shared" si="31"/>
        <v>27</v>
      </c>
      <c r="E75" s="323">
        <f t="shared" si="32"/>
        <v>2</v>
      </c>
      <c r="F75" s="348">
        <v>2</v>
      </c>
      <c r="G75" s="348">
        <v>10</v>
      </c>
      <c r="H75" s="348"/>
      <c r="I75" s="324">
        <f t="shared" si="19"/>
        <v>7</v>
      </c>
      <c r="J75" s="318">
        <f t="shared" si="20"/>
        <v>0</v>
      </c>
      <c r="K75" s="318">
        <f t="shared" si="21"/>
        <v>0</v>
      </c>
      <c r="L75" s="318">
        <f t="shared" si="22"/>
        <v>0</v>
      </c>
      <c r="M75" s="318">
        <f t="shared" si="23"/>
        <v>0</v>
      </c>
      <c r="N75" s="318">
        <f t="shared" si="24"/>
        <v>0</v>
      </c>
      <c r="O75" s="318">
        <f t="shared" si="25"/>
        <v>0</v>
      </c>
      <c r="P75" s="318">
        <f t="shared" si="26"/>
        <v>0</v>
      </c>
      <c r="Q75" s="318">
        <f t="shared" si="27"/>
        <v>0</v>
      </c>
      <c r="R75" s="318">
        <f t="shared" si="28"/>
        <v>7</v>
      </c>
      <c r="S75" s="318">
        <f t="shared" si="29"/>
        <v>0</v>
      </c>
      <c r="T75" s="318">
        <f t="shared" si="30"/>
        <v>0</v>
      </c>
    </row>
    <row r="76" spans="1:20">
      <c r="A76" s="323">
        <v>71</v>
      </c>
      <c r="B76" s="323">
        <f t="shared" si="17"/>
        <v>2019</v>
      </c>
      <c r="C76" s="323">
        <f t="shared" si="18"/>
        <v>5</v>
      </c>
      <c r="D76" s="323">
        <f t="shared" si="31"/>
        <v>27</v>
      </c>
      <c r="E76" s="323">
        <f t="shared" si="32"/>
        <v>1</v>
      </c>
      <c r="F76" s="348">
        <v>2</v>
      </c>
      <c r="G76" s="348">
        <v>10</v>
      </c>
      <c r="H76" s="348"/>
      <c r="I76" s="324">
        <f t="shared" si="19"/>
        <v>7</v>
      </c>
      <c r="J76" s="318">
        <f t="shared" si="20"/>
        <v>0</v>
      </c>
      <c r="K76" s="318">
        <f t="shared" si="21"/>
        <v>0</v>
      </c>
      <c r="L76" s="318">
        <f t="shared" si="22"/>
        <v>0</v>
      </c>
      <c r="M76" s="318">
        <f t="shared" si="23"/>
        <v>0</v>
      </c>
      <c r="N76" s="318">
        <f t="shared" si="24"/>
        <v>0</v>
      </c>
      <c r="O76" s="318">
        <f t="shared" si="25"/>
        <v>0</v>
      </c>
      <c r="P76" s="318">
        <f t="shared" si="26"/>
        <v>0</v>
      </c>
      <c r="Q76" s="318">
        <f t="shared" si="27"/>
        <v>0</v>
      </c>
      <c r="R76" s="318">
        <f t="shared" si="28"/>
        <v>7</v>
      </c>
      <c r="S76" s="318">
        <f t="shared" si="29"/>
        <v>0</v>
      </c>
      <c r="T76" s="318">
        <f t="shared" si="30"/>
        <v>0</v>
      </c>
    </row>
    <row r="77" spans="1:20">
      <c r="A77" s="323">
        <v>72</v>
      </c>
      <c r="B77" s="323">
        <f t="shared" si="17"/>
        <v>2019</v>
      </c>
      <c r="C77" s="323">
        <f t="shared" si="18"/>
        <v>4</v>
      </c>
      <c r="D77" s="323">
        <f t="shared" si="31"/>
        <v>27</v>
      </c>
      <c r="E77" s="323">
        <f t="shared" si="32"/>
        <v>0</v>
      </c>
      <c r="F77" s="348">
        <v>2</v>
      </c>
      <c r="G77" s="348">
        <v>10</v>
      </c>
      <c r="H77" s="348"/>
      <c r="I77" s="324">
        <f t="shared" si="19"/>
        <v>7</v>
      </c>
      <c r="J77" s="318">
        <f t="shared" si="20"/>
        <v>0</v>
      </c>
      <c r="K77" s="318">
        <f t="shared" si="21"/>
        <v>0</v>
      </c>
      <c r="L77" s="318">
        <f t="shared" si="22"/>
        <v>0</v>
      </c>
      <c r="M77" s="318">
        <f t="shared" si="23"/>
        <v>0</v>
      </c>
      <c r="N77" s="318">
        <f t="shared" si="24"/>
        <v>0</v>
      </c>
      <c r="O77" s="318">
        <f t="shared" si="25"/>
        <v>0</v>
      </c>
      <c r="P77" s="318">
        <f t="shared" si="26"/>
        <v>0</v>
      </c>
      <c r="Q77" s="318">
        <f t="shared" si="27"/>
        <v>0</v>
      </c>
      <c r="R77" s="318">
        <f t="shared" si="28"/>
        <v>7</v>
      </c>
      <c r="S77" s="318">
        <f t="shared" si="29"/>
        <v>0</v>
      </c>
      <c r="T77" s="318">
        <f t="shared" si="30"/>
        <v>0</v>
      </c>
    </row>
  </sheetData>
  <sheetProtection password="B7CF" sheet="1" selectLockedCells="1"/>
  <phoneticPr fontId="4"/>
  <dataValidations count="1">
    <dataValidation type="list" allowBlank="1" showInputMessage="1" showErrorMessage="1" sqref="W12:W13">
      <formula1>$AA$12:$AA$15</formula1>
    </dataValidation>
  </dataValidations>
  <pageMargins left="0.70866141732283472" right="0.70866141732283472" top="0.74803149606299213" bottom="0.74803149606299213" header="0.31496062992125984" footer="0.31496062992125984"/>
  <pageSetup paperSize="9" scale="64" fitToHeight="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E52"/>
  <sheetViews>
    <sheetView workbookViewId="0">
      <pane ySplit="7" topLeftCell="A8" activePane="bottomLeft" state="frozen"/>
      <selection pane="bottomLeft" activeCell="D13" sqref="D13"/>
    </sheetView>
  </sheetViews>
  <sheetFormatPr defaultRowHeight="18"/>
  <cols>
    <col min="1" max="2" width="13.8984375" customWidth="1"/>
    <col min="3" max="3" width="17.69921875" bestFit="1" customWidth="1"/>
    <col min="4" max="4" width="13.8984375" customWidth="1"/>
  </cols>
  <sheetData>
    <row r="1" spans="1:4" ht="26.4">
      <c r="A1" s="6" t="s">
        <v>7</v>
      </c>
      <c r="B1" s="6"/>
      <c r="C1" s="6"/>
      <c r="D1" s="39" t="s">
        <v>94</v>
      </c>
    </row>
    <row r="2" spans="1:4">
      <c r="A2" s="3" t="s">
        <v>22</v>
      </c>
      <c r="B2" s="3"/>
      <c r="D2" s="3"/>
    </row>
    <row r="3" spans="1:4">
      <c r="A3" s="7">
        <v>1</v>
      </c>
      <c r="B3" s="7">
        <v>2</v>
      </c>
      <c r="C3" s="7">
        <v>3</v>
      </c>
      <c r="D3" s="7">
        <v>4</v>
      </c>
    </row>
    <row r="4" spans="1:4" ht="17.7" customHeight="1">
      <c r="A4" s="367" t="s">
        <v>101</v>
      </c>
      <c r="B4" s="73" t="s">
        <v>8</v>
      </c>
      <c r="C4" s="4" t="s">
        <v>9</v>
      </c>
      <c r="D4" s="10" t="s">
        <v>10</v>
      </c>
    </row>
    <row r="5" spans="1:4">
      <c r="A5" s="368"/>
      <c r="B5" s="67"/>
      <c r="C5" s="8" t="s">
        <v>11</v>
      </c>
      <c r="D5" s="71"/>
    </row>
    <row r="6" spans="1:4">
      <c r="A6" s="368"/>
      <c r="B6" s="67"/>
      <c r="C6" s="71" t="s">
        <v>12</v>
      </c>
      <c r="D6" s="71"/>
    </row>
    <row r="7" spans="1:4">
      <c r="A7" s="369"/>
      <c r="B7" s="68"/>
      <c r="C7" s="72" t="s">
        <v>13</v>
      </c>
      <c r="D7" s="72"/>
    </row>
    <row r="8" spans="1:4">
      <c r="A8" s="69">
        <v>1</v>
      </c>
      <c r="B8" s="70">
        <v>0.50219999999999998</v>
      </c>
      <c r="C8" s="5">
        <v>0.83699999999999997</v>
      </c>
      <c r="D8" s="5">
        <v>0.83699999999999997</v>
      </c>
    </row>
    <row r="9" spans="1:4">
      <c r="A9" s="69">
        <v>2</v>
      </c>
      <c r="B9" s="70">
        <v>1.0044</v>
      </c>
      <c r="C9" s="5">
        <v>1.6739999999999999</v>
      </c>
      <c r="D9" s="5">
        <v>1.6739999999999999</v>
      </c>
    </row>
    <row r="10" spans="1:4">
      <c r="A10" s="69">
        <v>3</v>
      </c>
      <c r="B10" s="70">
        <v>1.5065999999999999</v>
      </c>
      <c r="C10" s="5">
        <v>2.5110000000000001</v>
      </c>
      <c r="D10" s="5">
        <v>2.5110000000000001</v>
      </c>
    </row>
    <row r="11" spans="1:4">
      <c r="A11" s="69">
        <v>4</v>
      </c>
      <c r="B11" s="70">
        <v>2.0087999999999999</v>
      </c>
      <c r="C11" s="5">
        <v>3.3479999999999999</v>
      </c>
      <c r="D11" s="5">
        <v>3.3479999999999999</v>
      </c>
    </row>
    <row r="12" spans="1:4">
      <c r="A12" s="69">
        <v>5</v>
      </c>
      <c r="B12" s="70">
        <v>2.5110000000000001</v>
      </c>
      <c r="C12" s="5">
        <v>4.1849999999999996</v>
      </c>
      <c r="D12" s="5">
        <v>4.1849999999999996</v>
      </c>
    </row>
    <row r="13" spans="1:4">
      <c r="A13" s="69">
        <v>6</v>
      </c>
      <c r="B13" s="70">
        <v>3.0131999999999999</v>
      </c>
      <c r="C13" s="5">
        <v>5.0220000000000002</v>
      </c>
      <c r="D13" s="5">
        <v>5.0220000000000002</v>
      </c>
    </row>
    <row r="14" spans="1:4">
      <c r="A14" s="69">
        <v>7</v>
      </c>
      <c r="B14" s="70">
        <v>3.5154000000000001</v>
      </c>
      <c r="C14" s="5">
        <v>5.859</v>
      </c>
      <c r="D14" s="5">
        <v>5.859</v>
      </c>
    </row>
    <row r="15" spans="1:4">
      <c r="A15" s="69">
        <v>8</v>
      </c>
      <c r="B15" s="70">
        <v>4.0175999999999998</v>
      </c>
      <c r="C15" s="5">
        <v>6.6959999999999997</v>
      </c>
      <c r="D15" s="5">
        <v>6.6959999999999997</v>
      </c>
    </row>
    <row r="16" spans="1:4">
      <c r="A16" s="69">
        <v>9</v>
      </c>
      <c r="B16" s="70">
        <v>4.5198</v>
      </c>
      <c r="C16" s="5">
        <v>7.5330000000000004</v>
      </c>
      <c r="D16" s="5">
        <v>7.5330000000000004</v>
      </c>
    </row>
    <row r="17" spans="1:4">
      <c r="A17" s="69">
        <v>10</v>
      </c>
      <c r="B17" s="70">
        <v>5.0220000000000002</v>
      </c>
      <c r="C17" s="5">
        <v>8.3699999999999992</v>
      </c>
      <c r="D17" s="5">
        <v>8.3699999999999992</v>
      </c>
    </row>
    <row r="18" spans="1:4">
      <c r="A18" s="69">
        <v>11</v>
      </c>
      <c r="B18" s="70">
        <v>7.4325599999999996</v>
      </c>
      <c r="C18" s="5">
        <v>11.613375</v>
      </c>
      <c r="D18" s="5">
        <v>9.2906999999999993</v>
      </c>
    </row>
    <row r="19" spans="1:4">
      <c r="A19" s="69">
        <v>12</v>
      </c>
      <c r="B19" s="70">
        <v>8.1691199999999995</v>
      </c>
      <c r="C19" s="5">
        <v>12.764250000000001</v>
      </c>
      <c r="D19" s="5">
        <v>10.211399999999999</v>
      </c>
    </row>
    <row r="20" spans="1:4">
      <c r="A20" s="69">
        <v>13</v>
      </c>
      <c r="B20" s="70">
        <v>8.9056800000000003</v>
      </c>
      <c r="C20" s="5">
        <v>13.915125</v>
      </c>
      <c r="D20" s="5">
        <v>11.132099999999999</v>
      </c>
    </row>
    <row r="21" spans="1:4">
      <c r="A21" s="69">
        <v>14</v>
      </c>
      <c r="B21" s="70">
        <v>9.6422399999999993</v>
      </c>
      <c r="C21" s="5">
        <v>15.066000000000001</v>
      </c>
      <c r="D21" s="5">
        <v>12.0528</v>
      </c>
    </row>
    <row r="22" spans="1:4">
      <c r="A22" s="69">
        <v>15</v>
      </c>
      <c r="B22" s="70">
        <v>10.3788</v>
      </c>
      <c r="C22" s="5">
        <v>16.216875000000002</v>
      </c>
      <c r="D22" s="5">
        <v>12.9735</v>
      </c>
    </row>
    <row r="23" spans="1:4">
      <c r="A23" s="69">
        <v>16</v>
      </c>
      <c r="B23" s="70">
        <v>12.88143</v>
      </c>
      <c r="C23" s="5">
        <v>17.890875000000001</v>
      </c>
      <c r="D23" s="5">
        <v>14.3127</v>
      </c>
    </row>
    <row r="24" spans="1:4">
      <c r="A24" s="69">
        <v>17</v>
      </c>
      <c r="B24" s="70">
        <v>14.08671</v>
      </c>
      <c r="C24" s="5">
        <v>19.564875000000001</v>
      </c>
      <c r="D24" s="5">
        <v>15.651899999999999</v>
      </c>
    </row>
    <row r="25" spans="1:4">
      <c r="A25" s="69">
        <v>18</v>
      </c>
      <c r="B25" s="70">
        <v>15.29199</v>
      </c>
      <c r="C25" s="5">
        <v>21.238875</v>
      </c>
      <c r="D25" s="5">
        <v>16.991099999999999</v>
      </c>
    </row>
    <row r="26" spans="1:4">
      <c r="A26" s="69">
        <v>19</v>
      </c>
      <c r="B26" s="70">
        <v>16.49727</v>
      </c>
      <c r="C26" s="5">
        <v>22.912875</v>
      </c>
      <c r="D26" s="5">
        <v>18.330300000000001</v>
      </c>
    </row>
    <row r="27" spans="1:4">
      <c r="A27" s="69">
        <v>20</v>
      </c>
      <c r="B27" s="70">
        <v>19.669499999999999</v>
      </c>
      <c r="C27" s="5">
        <v>24.586874999999999</v>
      </c>
      <c r="D27" s="5">
        <v>19.669499999999999</v>
      </c>
    </row>
    <row r="28" spans="1:4">
      <c r="A28" s="69">
        <v>21</v>
      </c>
      <c r="B28" s="70">
        <v>21.343499999999999</v>
      </c>
      <c r="C28" s="5">
        <v>26.260874999999999</v>
      </c>
      <c r="D28" s="5">
        <v>21.343499999999999</v>
      </c>
    </row>
    <row r="29" spans="1:4">
      <c r="A29" s="69">
        <v>22</v>
      </c>
      <c r="B29" s="70">
        <v>23.017499999999998</v>
      </c>
      <c r="C29" s="5">
        <v>27.934875000000002</v>
      </c>
      <c r="D29" s="5">
        <v>23.017499999999998</v>
      </c>
    </row>
    <row r="30" spans="1:4">
      <c r="A30" s="69">
        <v>23</v>
      </c>
      <c r="B30" s="70">
        <v>24.691500000000001</v>
      </c>
      <c r="C30" s="5">
        <v>29.608875000000001</v>
      </c>
      <c r="D30" s="5">
        <v>24.691500000000001</v>
      </c>
    </row>
    <row r="31" spans="1:4">
      <c r="A31" s="69">
        <v>24</v>
      </c>
      <c r="B31" s="70">
        <v>26.365500000000001</v>
      </c>
      <c r="C31" s="5">
        <v>31.282875000000001</v>
      </c>
      <c r="D31" s="5">
        <v>26.365500000000001</v>
      </c>
    </row>
    <row r="32" spans="1:4">
      <c r="A32" s="69">
        <v>25</v>
      </c>
      <c r="B32" s="70">
        <v>28.0395</v>
      </c>
      <c r="C32" s="5">
        <v>33.27075</v>
      </c>
      <c r="D32" s="5">
        <v>28.0395</v>
      </c>
    </row>
    <row r="33" spans="1:5">
      <c r="A33" s="69">
        <v>26</v>
      </c>
      <c r="B33" s="70">
        <v>29.378699999999998</v>
      </c>
      <c r="C33" s="5">
        <v>34.777349999999998</v>
      </c>
      <c r="D33" s="5">
        <v>29.378699999999998</v>
      </c>
    </row>
    <row r="34" spans="1:5">
      <c r="A34" s="69">
        <v>27</v>
      </c>
      <c r="B34" s="70">
        <v>30.7179</v>
      </c>
      <c r="C34" s="5">
        <v>36.283949999999997</v>
      </c>
      <c r="D34" s="5">
        <v>30.7179</v>
      </c>
    </row>
    <row r="35" spans="1:5">
      <c r="A35" s="69">
        <v>28</v>
      </c>
      <c r="B35" s="70">
        <v>32.057099999999998</v>
      </c>
      <c r="C35" s="5">
        <v>37.790550000000003</v>
      </c>
      <c r="D35" s="5">
        <v>32.057099999999998</v>
      </c>
    </row>
    <row r="36" spans="1:5">
      <c r="A36" s="69">
        <v>29</v>
      </c>
      <c r="B36" s="70">
        <v>33.396299999999997</v>
      </c>
      <c r="C36" s="5">
        <v>39.297150000000002</v>
      </c>
      <c r="D36" s="5">
        <v>33.396299999999997</v>
      </c>
    </row>
    <row r="37" spans="1:5">
      <c r="A37" s="69">
        <v>30</v>
      </c>
      <c r="B37" s="70">
        <v>34.735500000000002</v>
      </c>
      <c r="C37" s="5">
        <v>40.803750000000001</v>
      </c>
      <c r="D37" s="5">
        <v>34.735500000000002</v>
      </c>
    </row>
    <row r="38" spans="1:5">
      <c r="A38" s="69">
        <v>31</v>
      </c>
      <c r="B38" s="70">
        <v>35.739899999999999</v>
      </c>
      <c r="C38" s="5">
        <v>42.31035</v>
      </c>
      <c r="D38" s="5">
        <v>35.739899999999999</v>
      </c>
    </row>
    <row r="39" spans="1:5">
      <c r="A39" s="69">
        <v>32</v>
      </c>
      <c r="B39" s="70">
        <v>36.744300000000003</v>
      </c>
      <c r="C39" s="5">
        <v>43.816949999999999</v>
      </c>
      <c r="D39" s="5">
        <v>36.744300000000003</v>
      </c>
    </row>
    <row r="40" spans="1:5">
      <c r="A40" s="69">
        <v>33</v>
      </c>
      <c r="B40" s="70">
        <v>37.748699999999999</v>
      </c>
      <c r="C40" s="5">
        <v>45.323549999999997</v>
      </c>
      <c r="D40" s="5">
        <v>37.748699999999999</v>
      </c>
    </row>
    <row r="41" spans="1:5">
      <c r="A41" s="69">
        <v>34</v>
      </c>
      <c r="B41" s="70">
        <v>38.753100000000003</v>
      </c>
      <c r="C41" s="5">
        <v>46.830150000000003</v>
      </c>
      <c r="D41" s="5">
        <v>38.753100000000003</v>
      </c>
    </row>
    <row r="42" spans="1:5">
      <c r="A42" s="102">
        <v>35</v>
      </c>
      <c r="B42" s="70">
        <v>39.7575</v>
      </c>
      <c r="C42" s="101">
        <v>47.709000000000003</v>
      </c>
      <c r="D42" s="5">
        <v>39.7575</v>
      </c>
      <c r="E42" t="s">
        <v>123</v>
      </c>
    </row>
    <row r="43" spans="1:5">
      <c r="A43" s="102">
        <v>36</v>
      </c>
      <c r="B43" s="70">
        <v>40.761899999999997</v>
      </c>
      <c r="C43" s="101">
        <v>47.709000000000003</v>
      </c>
      <c r="D43" s="5">
        <v>40.761899999999997</v>
      </c>
    </row>
    <row r="44" spans="1:5">
      <c r="A44" s="102">
        <v>37</v>
      </c>
      <c r="B44" s="70">
        <v>41.766300000000001</v>
      </c>
      <c r="C44" s="101">
        <v>47.709000000000003</v>
      </c>
      <c r="D44" s="5">
        <v>41.766300000000001</v>
      </c>
    </row>
    <row r="45" spans="1:5">
      <c r="A45" s="102">
        <v>38</v>
      </c>
      <c r="B45" s="70">
        <v>42.770699999999998</v>
      </c>
      <c r="C45" s="101">
        <v>47.709000000000003</v>
      </c>
      <c r="D45" s="5">
        <v>42.770699999999998</v>
      </c>
    </row>
    <row r="46" spans="1:5">
      <c r="A46" s="102">
        <v>39</v>
      </c>
      <c r="B46" s="70">
        <v>43.775100000000002</v>
      </c>
      <c r="C46" s="101">
        <v>47.709000000000003</v>
      </c>
      <c r="D46" s="5">
        <v>43.775100000000002</v>
      </c>
    </row>
    <row r="47" spans="1:5">
      <c r="A47" s="102">
        <v>40</v>
      </c>
      <c r="B47" s="70">
        <v>44.779499999999999</v>
      </c>
      <c r="C47" s="101">
        <v>47.709000000000003</v>
      </c>
      <c r="D47" s="5">
        <v>44.779499999999999</v>
      </c>
    </row>
    <row r="48" spans="1:5">
      <c r="A48" s="102">
        <v>41</v>
      </c>
      <c r="B48" s="70">
        <v>45.783900000000003</v>
      </c>
      <c r="C48" s="101">
        <v>47.709000000000003</v>
      </c>
      <c r="D48" s="5">
        <v>45.783900000000003</v>
      </c>
    </row>
    <row r="49" spans="1:4">
      <c r="A49" s="102">
        <v>42</v>
      </c>
      <c r="B49" s="70">
        <v>46.7883</v>
      </c>
      <c r="C49" s="101">
        <v>47.709000000000003</v>
      </c>
      <c r="D49" s="5">
        <v>46.7883</v>
      </c>
    </row>
    <row r="50" spans="1:4">
      <c r="A50" s="102">
        <v>43</v>
      </c>
      <c r="B50" s="103">
        <v>47.709000000000003</v>
      </c>
      <c r="C50" s="101">
        <v>47.709000000000003</v>
      </c>
      <c r="D50" s="104">
        <v>47.709000000000003</v>
      </c>
    </row>
    <row r="51" spans="1:4">
      <c r="A51" s="102">
        <v>44</v>
      </c>
      <c r="B51" s="103">
        <v>47.709000000000003</v>
      </c>
      <c r="C51" s="101">
        <v>47.709000000000003</v>
      </c>
      <c r="D51" s="104">
        <v>47.709000000000003</v>
      </c>
    </row>
    <row r="52" spans="1:4">
      <c r="A52" s="102">
        <v>45</v>
      </c>
      <c r="B52" s="103">
        <v>47.709000000000003</v>
      </c>
      <c r="C52" s="101">
        <v>47.709000000000003</v>
      </c>
      <c r="D52" s="104">
        <v>47.709000000000003</v>
      </c>
    </row>
  </sheetData>
  <sheetProtection sheet="1" objects="1" scenarios="1"/>
  <mergeCells count="1">
    <mergeCell ref="A4:A7"/>
  </mergeCells>
  <phoneticPr fontId="4"/>
  <hyperlinks>
    <hyperlink ref="D1" location="簡易試算シート!C15" display="簡易試算シートに戻る"/>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E12"/>
  <sheetViews>
    <sheetView zoomScale="120" zoomScaleNormal="120" workbookViewId="0">
      <selection activeCell="C14" sqref="C14"/>
    </sheetView>
  </sheetViews>
  <sheetFormatPr defaultRowHeight="18"/>
  <cols>
    <col min="1" max="1" width="28.3984375" customWidth="1"/>
    <col min="2" max="4" width="20.8984375" customWidth="1"/>
  </cols>
  <sheetData>
    <row r="1" spans="1:5">
      <c r="A1" s="218" t="s">
        <v>292</v>
      </c>
      <c r="B1" s="218"/>
      <c r="C1" s="218"/>
      <c r="D1" s="218"/>
      <c r="E1" s="217"/>
    </row>
    <row r="2" spans="1:5" ht="25.95" customHeight="1">
      <c r="A2" s="219" t="s">
        <v>293</v>
      </c>
      <c r="B2" s="219" t="s">
        <v>108</v>
      </c>
      <c r="C2" s="219" t="s">
        <v>109</v>
      </c>
      <c r="D2" s="310" t="s">
        <v>298</v>
      </c>
    </row>
    <row r="3" spans="1:5" ht="30" customHeight="1">
      <c r="A3" s="220" t="s">
        <v>295</v>
      </c>
      <c r="B3" s="221" t="s">
        <v>304</v>
      </c>
      <c r="C3" s="221" t="s">
        <v>305</v>
      </c>
      <c r="D3" s="311"/>
    </row>
    <row r="4" spans="1:5" ht="30" customHeight="1">
      <c r="A4" s="220" t="s">
        <v>296</v>
      </c>
      <c r="B4" s="222" t="s">
        <v>297</v>
      </c>
      <c r="C4" s="215"/>
      <c r="D4" s="311"/>
    </row>
    <row r="5" spans="1:5" ht="30" customHeight="1">
      <c r="A5" s="223" t="s">
        <v>301</v>
      </c>
      <c r="B5" s="215"/>
      <c r="C5" s="222" t="s">
        <v>297</v>
      </c>
      <c r="D5" s="311"/>
    </row>
    <row r="6" spans="1:5" ht="30" customHeight="1">
      <c r="A6" s="223" t="s">
        <v>300</v>
      </c>
      <c r="B6" s="215"/>
      <c r="C6" s="222" t="s">
        <v>297</v>
      </c>
      <c r="D6" s="311"/>
    </row>
    <row r="7" spans="1:5" ht="30" customHeight="1">
      <c r="A7" s="220" t="s">
        <v>299</v>
      </c>
      <c r="B7" s="215"/>
      <c r="C7" s="222" t="s">
        <v>297</v>
      </c>
      <c r="D7" s="311"/>
    </row>
    <row r="8" spans="1:5" ht="30" customHeight="1">
      <c r="A8" s="223" t="s">
        <v>302</v>
      </c>
      <c r="B8" s="215"/>
      <c r="C8" s="215"/>
      <c r="D8" s="312" t="s">
        <v>297</v>
      </c>
    </row>
    <row r="9" spans="1:5" ht="30" customHeight="1">
      <c r="A9" s="220" t="s">
        <v>294</v>
      </c>
      <c r="B9" s="215"/>
      <c r="C9" s="215"/>
      <c r="D9" s="312" t="s">
        <v>297</v>
      </c>
    </row>
    <row r="10" spans="1:5" ht="30" customHeight="1" thickBot="1">
      <c r="A10" s="313" t="s">
        <v>303</v>
      </c>
      <c r="B10" s="314"/>
      <c r="C10" s="314"/>
      <c r="D10" s="315" t="s">
        <v>297</v>
      </c>
    </row>
    <row r="11" spans="1:5">
      <c r="C11" s="216"/>
    </row>
    <row r="12" spans="1:5">
      <c r="C12" s="216"/>
    </row>
  </sheetData>
  <sheetProtection sheet="1" objects="1" scenarios="1"/>
  <phoneticPr fontId="4"/>
  <pageMargins left="0.7" right="0.7" top="0.75" bottom="0.75" header="0.3" footer="0.3"/>
  <pageSetup paperSize="9" orientation="portrait" copies="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J79"/>
  <sheetViews>
    <sheetView workbookViewId="0">
      <selection activeCell="H16" sqref="H16"/>
    </sheetView>
  </sheetViews>
  <sheetFormatPr defaultRowHeight="18"/>
  <cols>
    <col min="1" max="1" width="5.296875" customWidth="1"/>
    <col min="2" max="2" width="21.69921875" customWidth="1"/>
    <col min="3" max="10" width="11.59765625" customWidth="1"/>
  </cols>
  <sheetData>
    <row r="1" spans="1:10" ht="19.8">
      <c r="A1" s="162" t="s">
        <v>217</v>
      </c>
      <c r="F1" s="39" t="s">
        <v>94</v>
      </c>
    </row>
    <row r="2" spans="1:10">
      <c r="B2" s="66" t="s">
        <v>219</v>
      </c>
    </row>
    <row r="3" spans="1:10">
      <c r="B3" t="s">
        <v>218</v>
      </c>
    </row>
    <row r="4" spans="1:10">
      <c r="B4" s="66" t="s">
        <v>220</v>
      </c>
    </row>
    <row r="5" spans="1:10">
      <c r="B5" t="s">
        <v>238</v>
      </c>
    </row>
    <row r="7" spans="1:10">
      <c r="A7" s="355" t="s">
        <v>306</v>
      </c>
    </row>
    <row r="8" spans="1:10">
      <c r="A8" s="201" t="s">
        <v>280</v>
      </c>
      <c r="B8" s="202"/>
      <c r="C8" s="202"/>
      <c r="D8" s="202"/>
      <c r="E8" s="202"/>
      <c r="F8" s="202"/>
      <c r="G8" s="202"/>
      <c r="H8" s="202"/>
      <c r="I8" s="202"/>
      <c r="J8" s="202"/>
    </row>
    <row r="9" spans="1:10">
      <c r="E9" s="149" t="s">
        <v>243</v>
      </c>
      <c r="F9" s="150" t="s">
        <v>244</v>
      </c>
    </row>
    <row r="10" spans="1:10">
      <c r="B10" t="s">
        <v>221</v>
      </c>
      <c r="C10" s="38" t="s">
        <v>225</v>
      </c>
      <c r="D10" s="38" t="s">
        <v>226</v>
      </c>
      <c r="E10" s="147" t="s">
        <v>227</v>
      </c>
      <c r="F10" s="148" t="s">
        <v>228</v>
      </c>
      <c r="G10" s="353" t="s">
        <v>229</v>
      </c>
      <c r="H10" s="158" t="s">
        <v>230</v>
      </c>
      <c r="I10" s="158" t="s">
        <v>231</v>
      </c>
      <c r="J10" s="158" t="s">
        <v>232</v>
      </c>
    </row>
    <row r="11" spans="1:10">
      <c r="B11" t="s">
        <v>222</v>
      </c>
      <c r="C11" s="38" t="s">
        <v>233</v>
      </c>
      <c r="D11" s="38" t="s">
        <v>234</v>
      </c>
      <c r="E11" s="196" t="s">
        <v>235</v>
      </c>
      <c r="F11" s="148" t="s">
        <v>236</v>
      </c>
      <c r="G11" s="354" t="s">
        <v>237</v>
      </c>
      <c r="H11" s="158" t="s">
        <v>245</v>
      </c>
      <c r="I11" s="158" t="s">
        <v>246</v>
      </c>
      <c r="J11" s="158" t="s">
        <v>247</v>
      </c>
    </row>
    <row r="12" spans="1:10">
      <c r="B12" t="s">
        <v>223</v>
      </c>
      <c r="C12">
        <v>42.31035</v>
      </c>
      <c r="D12">
        <v>43.816949999999999</v>
      </c>
      <c r="E12" s="154">
        <v>45.323549999999997</v>
      </c>
      <c r="F12" s="152">
        <v>46.830150000000003</v>
      </c>
      <c r="G12" s="355">
        <v>47.709000000000003</v>
      </c>
      <c r="H12" s="159">
        <f>G12</f>
        <v>47.709000000000003</v>
      </c>
      <c r="I12" s="159">
        <f t="shared" ref="I12:J12" si="0">H12</f>
        <v>47.709000000000003</v>
      </c>
      <c r="J12" s="159">
        <f t="shared" si="0"/>
        <v>47.709000000000003</v>
      </c>
    </row>
    <row r="13" spans="1:10" ht="26.25" customHeight="1">
      <c r="B13" t="s">
        <v>224</v>
      </c>
      <c r="C13" s="146">
        <v>442624</v>
      </c>
      <c r="D13" s="146">
        <v>443768</v>
      </c>
      <c r="E13" s="155">
        <v>444808</v>
      </c>
      <c r="F13" s="157">
        <v>311376</v>
      </c>
      <c r="G13" s="356">
        <v>311376</v>
      </c>
      <c r="H13" s="160">
        <v>311376</v>
      </c>
      <c r="I13" s="160">
        <v>311376</v>
      </c>
      <c r="J13" s="160">
        <v>311376</v>
      </c>
    </row>
    <row r="15" spans="1:10" ht="30.6">
      <c r="E15" s="136" t="s">
        <v>241</v>
      </c>
      <c r="F15" s="161" t="s">
        <v>242</v>
      </c>
    </row>
    <row r="16" spans="1:10" ht="36" customHeight="1" thickBot="1">
      <c r="B16" s="85"/>
      <c r="C16" s="85"/>
      <c r="E16" s="139" t="s">
        <v>239</v>
      </c>
      <c r="F16" s="137"/>
    </row>
    <row r="17" spans="1:10" ht="10.050000000000001" customHeight="1" thickTop="1" thickBot="1">
      <c r="B17" s="85"/>
      <c r="C17" s="85"/>
      <c r="D17" s="141"/>
      <c r="E17" s="370">
        <f>E13</f>
        <v>444808</v>
      </c>
      <c r="F17" s="377" t="s">
        <v>240</v>
      </c>
    </row>
    <row r="18" spans="1:10" ht="10.050000000000001" customHeight="1" thickTop="1" thickBot="1">
      <c r="B18" s="85"/>
      <c r="C18" s="85"/>
      <c r="D18" s="140"/>
      <c r="E18" s="371" t="str">
        <f>E11</f>
        <v>33年</v>
      </c>
      <c r="F18" s="378"/>
    </row>
    <row r="19" spans="1:10" ht="10.050000000000001" customHeight="1" thickTop="1" thickBot="1">
      <c r="C19" s="140"/>
      <c r="E19" s="371">
        <f>E12</f>
        <v>45.323549999999997</v>
      </c>
      <c r="F19" s="378"/>
    </row>
    <row r="20" spans="1:10" ht="35.700000000000003" customHeight="1" thickTop="1" thickBot="1">
      <c r="C20" s="142"/>
      <c r="D20" s="143"/>
      <c r="E20" s="197"/>
      <c r="F20" s="156">
        <f>F13</f>
        <v>311376</v>
      </c>
      <c r="G20" s="144"/>
      <c r="H20" s="145"/>
      <c r="I20" s="145"/>
      <c r="J20" s="145"/>
    </row>
    <row r="21" spans="1:10" ht="18.600000000000001" thickTop="1">
      <c r="D21" s="38"/>
      <c r="E21" s="138" t="s">
        <v>1</v>
      </c>
      <c r="F21" s="138" t="s">
        <v>1</v>
      </c>
      <c r="G21" s="85"/>
    </row>
    <row r="22" spans="1:10">
      <c r="E22" s="153">
        <f>E12</f>
        <v>45.323549999999997</v>
      </c>
      <c r="F22" s="151">
        <f>F12</f>
        <v>46.830150000000003</v>
      </c>
      <c r="G22" s="85"/>
    </row>
    <row r="23" spans="1:10">
      <c r="D23" s="38"/>
    </row>
    <row r="24" spans="1:10">
      <c r="C24" s="74" t="s">
        <v>274</v>
      </c>
      <c r="D24" s="74"/>
      <c r="E24" s="74"/>
      <c r="F24" s="74"/>
      <c r="G24" s="74"/>
      <c r="H24" s="74"/>
      <c r="I24" s="74"/>
    </row>
    <row r="25" spans="1:10">
      <c r="C25" s="74" t="s">
        <v>281</v>
      </c>
      <c r="D25" s="74"/>
      <c r="E25" s="74"/>
      <c r="F25" s="74"/>
      <c r="G25" s="74"/>
      <c r="H25" s="74"/>
      <c r="I25" s="74"/>
    </row>
    <row r="27" spans="1:10">
      <c r="B27" t="s">
        <v>307</v>
      </c>
      <c r="C27" s="228">
        <f>E17</f>
        <v>444808</v>
      </c>
      <c r="D27" s="225" t="s">
        <v>275</v>
      </c>
      <c r="E27" s="153">
        <f>E22</f>
        <v>45.323549999999997</v>
      </c>
      <c r="F27" s="85"/>
      <c r="G27" s="226"/>
      <c r="H27" s="226"/>
      <c r="I27" s="226"/>
      <c r="J27" s="9"/>
    </row>
    <row r="28" spans="1:10">
      <c r="B28" s="357" t="s">
        <v>367</v>
      </c>
      <c r="C28" s="227">
        <f>F20</f>
        <v>311376</v>
      </c>
      <c r="D28" s="224" t="s">
        <v>278</v>
      </c>
      <c r="E28" s="151">
        <f>F22</f>
        <v>46.830150000000003</v>
      </c>
      <c r="F28" s="224" t="s">
        <v>276</v>
      </c>
      <c r="G28" s="153">
        <f>E22</f>
        <v>45.323549999999997</v>
      </c>
      <c r="H28" s="85" t="s">
        <v>277</v>
      </c>
      <c r="I28" s="85"/>
    </row>
    <row r="29" spans="1:10">
      <c r="B29" s="38" t="s">
        <v>279</v>
      </c>
      <c r="C29" s="229">
        <f>C27*E27+C28*(E28-G28)</f>
        <v>20629396.710000001</v>
      </c>
      <c r="D29" s="40"/>
      <c r="E29" s="146"/>
    </row>
    <row r="30" spans="1:10" ht="34.950000000000003" customHeight="1"/>
    <row r="31" spans="1:10">
      <c r="A31" s="201" t="s">
        <v>282</v>
      </c>
      <c r="B31" s="202"/>
      <c r="C31" s="202"/>
      <c r="D31" s="202"/>
      <c r="E31" s="202"/>
      <c r="F31" s="202"/>
      <c r="G31" s="202"/>
      <c r="H31" s="202"/>
      <c r="I31" s="202"/>
      <c r="J31" s="202"/>
    </row>
    <row r="33" spans="2:10">
      <c r="E33" s="149" t="s">
        <v>243</v>
      </c>
      <c r="F33" s="150" t="s">
        <v>244</v>
      </c>
    </row>
    <row r="34" spans="2:10">
      <c r="B34" t="s">
        <v>221</v>
      </c>
      <c r="C34" s="38" t="s">
        <v>225</v>
      </c>
      <c r="D34" s="38" t="s">
        <v>226</v>
      </c>
      <c r="E34" s="147" t="s">
        <v>227</v>
      </c>
      <c r="F34" s="148" t="s">
        <v>228</v>
      </c>
      <c r="G34" s="353" t="s">
        <v>229</v>
      </c>
      <c r="H34" s="158" t="s">
        <v>230</v>
      </c>
      <c r="I34" s="158" t="s">
        <v>231</v>
      </c>
      <c r="J34" s="158" t="s">
        <v>232</v>
      </c>
    </row>
    <row r="35" spans="2:10">
      <c r="B35" t="s">
        <v>222</v>
      </c>
      <c r="C35" s="38" t="s">
        <v>235</v>
      </c>
      <c r="D35" s="38" t="s">
        <v>236</v>
      </c>
      <c r="E35" s="196" t="s">
        <v>237</v>
      </c>
      <c r="F35" s="148" t="s">
        <v>245</v>
      </c>
      <c r="G35" s="354" t="s">
        <v>246</v>
      </c>
      <c r="H35" s="158" t="s">
        <v>247</v>
      </c>
      <c r="I35" s="158" t="s">
        <v>283</v>
      </c>
      <c r="J35" s="158" t="s">
        <v>284</v>
      </c>
    </row>
    <row r="36" spans="2:10">
      <c r="B36" t="s">
        <v>223</v>
      </c>
      <c r="C36">
        <v>45.323549999999997</v>
      </c>
      <c r="D36">
        <v>46.830150000000003</v>
      </c>
      <c r="E36" s="154">
        <v>47.709000000000003</v>
      </c>
      <c r="F36" s="152">
        <v>47.709000000000003</v>
      </c>
      <c r="G36" s="355">
        <v>47.709000000000003</v>
      </c>
      <c r="H36" s="159">
        <v>47.709000000000003</v>
      </c>
      <c r="I36" s="159">
        <f t="shared" ref="I36" si="1">H36</f>
        <v>47.709000000000003</v>
      </c>
      <c r="J36" s="159">
        <f t="shared" ref="J36" si="2">I36</f>
        <v>47.709000000000003</v>
      </c>
    </row>
    <row r="37" spans="2:10" ht="26.25" customHeight="1">
      <c r="B37" t="s">
        <v>224</v>
      </c>
      <c r="C37" s="198">
        <v>442624</v>
      </c>
      <c r="D37" s="198">
        <v>443768</v>
      </c>
      <c r="E37" s="199">
        <v>444808</v>
      </c>
      <c r="F37" s="157">
        <v>311376</v>
      </c>
      <c r="G37" s="356">
        <v>311376</v>
      </c>
      <c r="H37" s="160">
        <v>311376</v>
      </c>
      <c r="I37" s="160">
        <v>311376</v>
      </c>
      <c r="J37" s="160">
        <v>311376</v>
      </c>
    </row>
    <row r="39" spans="2:10" ht="30.6">
      <c r="E39" s="136" t="s">
        <v>241</v>
      </c>
      <c r="F39" s="161" t="s">
        <v>242</v>
      </c>
    </row>
    <row r="40" spans="2:10" ht="36" customHeight="1" thickBot="1">
      <c r="B40" s="85"/>
      <c r="C40" s="85"/>
      <c r="E40" s="139" t="s">
        <v>239</v>
      </c>
      <c r="F40" s="137"/>
    </row>
    <row r="41" spans="2:10" ht="10.050000000000001" customHeight="1" thickTop="1" thickBot="1">
      <c r="B41" s="85"/>
      <c r="C41" s="85"/>
      <c r="D41" s="141"/>
      <c r="E41" s="370">
        <f>E37</f>
        <v>444808</v>
      </c>
      <c r="F41" s="377" t="s">
        <v>240</v>
      </c>
    </row>
    <row r="42" spans="2:10" ht="10.050000000000001" customHeight="1" thickTop="1" thickBot="1">
      <c r="B42" s="85"/>
      <c r="C42" s="85"/>
      <c r="D42" s="140"/>
      <c r="E42" s="371" t="str">
        <f>E35</f>
        <v>35年</v>
      </c>
      <c r="F42" s="378"/>
    </row>
    <row r="43" spans="2:10" ht="10.050000000000001" customHeight="1" thickTop="1" thickBot="1">
      <c r="C43" s="140"/>
      <c r="E43" s="371">
        <f>E36</f>
        <v>47.709000000000003</v>
      </c>
      <c r="F43" s="378"/>
    </row>
    <row r="44" spans="2:10" ht="35.700000000000003" customHeight="1" thickTop="1" thickBot="1">
      <c r="C44" s="142"/>
      <c r="D44" s="143"/>
      <c r="E44" s="197"/>
      <c r="F44" s="156">
        <f>F37</f>
        <v>311376</v>
      </c>
      <c r="G44" s="144"/>
      <c r="H44" s="145"/>
      <c r="I44" s="145"/>
      <c r="J44" s="145"/>
    </row>
    <row r="45" spans="2:10" ht="18.600000000000001" thickTop="1">
      <c r="D45" s="38"/>
      <c r="E45" s="138" t="s">
        <v>1</v>
      </c>
      <c r="F45" s="138" t="s">
        <v>1</v>
      </c>
      <c r="G45" s="85"/>
    </row>
    <row r="46" spans="2:10">
      <c r="E46" s="153">
        <f>E36</f>
        <v>47.709000000000003</v>
      </c>
      <c r="F46" s="151">
        <f>F36</f>
        <v>47.709000000000003</v>
      </c>
      <c r="G46" s="85"/>
    </row>
    <row r="47" spans="2:10">
      <c r="D47" s="38"/>
    </row>
    <row r="48" spans="2:10">
      <c r="C48" s="74" t="s">
        <v>274</v>
      </c>
      <c r="D48" s="74"/>
      <c r="E48" s="74"/>
      <c r="F48" s="74"/>
      <c r="G48" s="74"/>
      <c r="H48" s="74"/>
      <c r="I48" s="74"/>
    </row>
    <row r="49" spans="1:10">
      <c r="C49" s="74" t="s">
        <v>281</v>
      </c>
      <c r="D49" s="74"/>
      <c r="E49" s="74"/>
      <c r="F49" s="74"/>
      <c r="G49" s="74"/>
      <c r="H49" s="74"/>
      <c r="I49" s="74"/>
    </row>
    <row r="51" spans="1:10">
      <c r="B51" t="s">
        <v>307</v>
      </c>
      <c r="C51" s="228">
        <f>E41</f>
        <v>444808</v>
      </c>
      <c r="D51" s="195" t="s">
        <v>275</v>
      </c>
      <c r="E51" s="153">
        <f>E46</f>
        <v>47.709000000000003</v>
      </c>
      <c r="G51" s="9"/>
      <c r="H51" s="9"/>
      <c r="I51" s="9"/>
      <c r="J51" s="9"/>
    </row>
    <row r="52" spans="1:10">
      <c r="B52" s="38" t="s">
        <v>367</v>
      </c>
      <c r="C52" s="227">
        <f>F44</f>
        <v>311376</v>
      </c>
      <c r="D52" s="40" t="s">
        <v>278</v>
      </c>
      <c r="E52" s="151">
        <f>F46</f>
        <v>47.709000000000003</v>
      </c>
      <c r="F52" s="40" t="s">
        <v>276</v>
      </c>
      <c r="G52" s="153">
        <f>E46</f>
        <v>47.709000000000003</v>
      </c>
      <c r="H52" t="s">
        <v>277</v>
      </c>
    </row>
    <row r="53" spans="1:10">
      <c r="B53" s="38" t="s">
        <v>279</v>
      </c>
      <c r="C53" s="229">
        <f>C51*E51+C52*(E52-G52)</f>
        <v>21221344.872000001</v>
      </c>
      <c r="D53" s="40"/>
      <c r="E53" s="146"/>
    </row>
    <row r="54" spans="1:10">
      <c r="C54" s="9"/>
      <c r="F54" s="200" t="s">
        <v>286</v>
      </c>
    </row>
    <row r="55" spans="1:10" ht="34.950000000000003" customHeight="1"/>
    <row r="56" spans="1:10">
      <c r="A56" s="201" t="s">
        <v>248</v>
      </c>
      <c r="B56" s="202"/>
      <c r="C56" s="202"/>
      <c r="D56" s="202"/>
      <c r="E56" s="202"/>
      <c r="F56" s="202"/>
      <c r="G56" s="202"/>
      <c r="H56" s="202"/>
      <c r="I56" s="202"/>
      <c r="J56" s="202"/>
    </row>
    <row r="58" spans="1:10">
      <c r="E58" s="149" t="s">
        <v>243</v>
      </c>
      <c r="F58" s="150" t="s">
        <v>244</v>
      </c>
    </row>
    <row r="59" spans="1:10">
      <c r="B59" t="s">
        <v>221</v>
      </c>
      <c r="C59" s="38" t="s">
        <v>225</v>
      </c>
      <c r="D59" s="38" t="s">
        <v>226</v>
      </c>
      <c r="E59" s="147" t="s">
        <v>227</v>
      </c>
      <c r="F59" s="148" t="s">
        <v>228</v>
      </c>
      <c r="G59" s="353" t="s">
        <v>229</v>
      </c>
      <c r="H59" s="158" t="s">
        <v>230</v>
      </c>
      <c r="I59" s="158" t="s">
        <v>231</v>
      </c>
      <c r="J59" s="158" t="s">
        <v>232</v>
      </c>
    </row>
    <row r="60" spans="1:10">
      <c r="B60" t="s">
        <v>222</v>
      </c>
      <c r="C60" s="38" t="s">
        <v>233</v>
      </c>
      <c r="D60" s="38" t="s">
        <v>234</v>
      </c>
      <c r="E60" s="209" t="s">
        <v>235</v>
      </c>
      <c r="F60" s="148" t="s">
        <v>236</v>
      </c>
      <c r="G60" s="354" t="s">
        <v>237</v>
      </c>
      <c r="H60" s="158" t="s">
        <v>245</v>
      </c>
      <c r="I60" s="158" t="s">
        <v>246</v>
      </c>
      <c r="J60" s="158" t="s">
        <v>284</v>
      </c>
    </row>
    <row r="61" spans="1:10">
      <c r="B61" t="s">
        <v>223</v>
      </c>
      <c r="C61">
        <v>42.31035</v>
      </c>
      <c r="D61" s="153">
        <v>43.816949999999999</v>
      </c>
      <c r="E61" s="211">
        <v>45.323549999999997</v>
      </c>
      <c r="F61" s="152">
        <v>46.830150000000003</v>
      </c>
      <c r="G61" s="355">
        <v>47.709000000000003</v>
      </c>
      <c r="H61" s="159">
        <v>47.709000000000003</v>
      </c>
      <c r="I61" s="159">
        <v>47.709000000000003</v>
      </c>
      <c r="J61" s="159">
        <f t="shared" ref="J61" si="3">I61</f>
        <v>47.709000000000003</v>
      </c>
    </row>
    <row r="62" spans="1:10" ht="26.25" customHeight="1">
      <c r="B62" t="s">
        <v>224</v>
      </c>
      <c r="C62" s="198">
        <v>439792</v>
      </c>
      <c r="D62" s="210">
        <v>439792</v>
      </c>
      <c r="E62" s="212">
        <v>428792</v>
      </c>
      <c r="F62" s="157">
        <v>311376</v>
      </c>
      <c r="G62" s="356">
        <v>311376</v>
      </c>
      <c r="H62" s="160">
        <v>311376</v>
      </c>
      <c r="I62" s="160">
        <v>311376</v>
      </c>
      <c r="J62" s="160">
        <v>311376</v>
      </c>
    </row>
    <row r="64" spans="1:10" ht="30">
      <c r="D64" s="208" t="s">
        <v>315</v>
      </c>
      <c r="E64" s="214" t="s">
        <v>291</v>
      </c>
      <c r="F64" s="161" t="s">
        <v>242</v>
      </c>
    </row>
    <row r="65" spans="2:10" ht="36" customHeight="1" thickBot="1">
      <c r="B65" s="85"/>
      <c r="C65" s="85"/>
      <c r="D65" s="139" t="s">
        <v>288</v>
      </c>
      <c r="E65" s="375" t="s">
        <v>287</v>
      </c>
      <c r="F65" s="137"/>
    </row>
    <row r="66" spans="2:10" ht="10.050000000000001" customHeight="1" thickTop="1">
      <c r="B66" s="85"/>
      <c r="C66" s="205"/>
      <c r="D66" s="370">
        <f>D62</f>
        <v>439792</v>
      </c>
      <c r="E66" s="375"/>
      <c r="F66" s="377" t="s">
        <v>240</v>
      </c>
    </row>
    <row r="67" spans="2:10" ht="10.050000000000001" customHeight="1" thickBot="1">
      <c r="B67" s="203"/>
      <c r="C67" s="206"/>
      <c r="D67" s="371" t="str">
        <f>D60</f>
        <v>32年</v>
      </c>
      <c r="E67" s="376"/>
      <c r="F67" s="378"/>
    </row>
    <row r="68" spans="2:10" ht="10.050000000000001" customHeight="1" thickTop="1" thickBot="1">
      <c r="B68" s="203"/>
      <c r="C68" s="206"/>
      <c r="D68" s="372">
        <f>D61</f>
        <v>43.816949999999999</v>
      </c>
      <c r="E68" s="373">
        <f>E62</f>
        <v>428792</v>
      </c>
      <c r="F68" s="378"/>
    </row>
    <row r="69" spans="2:10" ht="35.700000000000003" customHeight="1" thickTop="1" thickBot="1">
      <c r="B69" s="203"/>
      <c r="C69" s="207"/>
      <c r="D69" s="204"/>
      <c r="E69" s="374"/>
      <c r="F69" s="156">
        <f>F62</f>
        <v>311376</v>
      </c>
      <c r="G69" s="144"/>
      <c r="H69" s="145"/>
      <c r="I69" s="145"/>
      <c r="J69" s="145"/>
    </row>
    <row r="70" spans="2:10" ht="18.600000000000001" thickTop="1">
      <c r="C70" s="38"/>
      <c r="D70" s="138" t="s">
        <v>1</v>
      </c>
      <c r="F70" s="138" t="s">
        <v>1</v>
      </c>
      <c r="G70" s="85"/>
    </row>
    <row r="71" spans="2:10">
      <c r="D71" s="153">
        <f>D61</f>
        <v>43.816949999999999</v>
      </c>
      <c r="F71" s="151">
        <f>F61</f>
        <v>46.830150000000003</v>
      </c>
      <c r="G71" s="85"/>
    </row>
    <row r="72" spans="2:10">
      <c r="D72" s="38"/>
    </row>
    <row r="73" spans="2:10">
      <c r="C73" s="74" t="s">
        <v>274</v>
      </c>
      <c r="D73" s="74"/>
      <c r="E73" s="74"/>
      <c r="F73" s="74"/>
      <c r="G73" s="74"/>
      <c r="H73" s="74"/>
      <c r="I73" s="74"/>
    </row>
    <row r="74" spans="2:10">
      <c r="C74" s="74" t="s">
        <v>281</v>
      </c>
      <c r="D74" s="74"/>
      <c r="E74" s="74"/>
      <c r="F74" s="74"/>
      <c r="G74" s="74"/>
      <c r="H74" s="74"/>
      <c r="I74" s="74"/>
    </row>
    <row r="76" spans="2:10">
      <c r="B76" t="s">
        <v>307</v>
      </c>
      <c r="C76" s="210">
        <f>D66</f>
        <v>439792</v>
      </c>
      <c r="D76" s="195" t="s">
        <v>0</v>
      </c>
      <c r="E76" s="153">
        <f>D71</f>
        <v>43.816949999999999</v>
      </c>
      <c r="G76" s="9"/>
      <c r="H76" s="9"/>
      <c r="I76" s="9"/>
      <c r="J76" s="9"/>
    </row>
    <row r="77" spans="2:10">
      <c r="B77" s="357" t="s">
        <v>367</v>
      </c>
      <c r="C77" s="227">
        <f>F69</f>
        <v>311376</v>
      </c>
      <c r="D77" s="224" t="s">
        <v>278</v>
      </c>
      <c r="E77" s="151">
        <f>F71</f>
        <v>46.830150000000003</v>
      </c>
      <c r="F77" s="224" t="s">
        <v>266</v>
      </c>
      <c r="G77" s="153">
        <f>D71</f>
        <v>43.816949999999999</v>
      </c>
      <c r="H77" s="85" t="s">
        <v>267</v>
      </c>
    </row>
    <row r="78" spans="2:10">
      <c r="B78" s="38" t="s">
        <v>90</v>
      </c>
      <c r="C78" s="229">
        <f>C76*E76+C77*(E77-G77)</f>
        <v>20208582.237600002</v>
      </c>
      <c r="D78" s="40"/>
      <c r="E78" s="146"/>
    </row>
    <row r="79" spans="2:10">
      <c r="C79" s="9"/>
      <c r="F79" s="200"/>
    </row>
  </sheetData>
  <sheetProtection password="B7CF" sheet="1" objects="1" scenarios="1"/>
  <mergeCells count="8">
    <mergeCell ref="D66:D68"/>
    <mergeCell ref="E68:E69"/>
    <mergeCell ref="E65:E67"/>
    <mergeCell ref="E17:E19"/>
    <mergeCell ref="F17:F19"/>
    <mergeCell ref="E41:E43"/>
    <mergeCell ref="F41:F43"/>
    <mergeCell ref="F66:F68"/>
  </mergeCells>
  <phoneticPr fontId="4"/>
  <hyperlinks>
    <hyperlink ref="F1" location="簡易試算シート!B40" display="簡易試算シートに戻る"/>
  </hyperlinks>
  <pageMargins left="0.70866141732283472" right="0.70866141732283472" top="0.74803149606299213" bottom="0.74803149606299213" header="0.31496062992125984" footer="0.31496062992125984"/>
  <pageSetup paperSize="9" scale="61" fitToHeight="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26"/>
  <sheetViews>
    <sheetView zoomScaleNormal="100" workbookViewId="0">
      <pane xSplit="2" ySplit="6" topLeftCell="C7" activePane="bottomRight" state="frozen"/>
      <selection pane="topRight" activeCell="C1" sqref="C1"/>
      <selection pane="bottomLeft" activeCell="A7" sqref="A7"/>
      <selection pane="bottomRight" activeCell="E1" sqref="E1"/>
    </sheetView>
  </sheetViews>
  <sheetFormatPr defaultRowHeight="18"/>
  <cols>
    <col min="1" max="2" width="12.09765625" customWidth="1"/>
    <col min="3" max="4" width="7.796875" customWidth="1"/>
    <col min="6" max="6" width="20.296875" customWidth="1"/>
    <col min="11" max="18" width="6.5" customWidth="1"/>
    <col min="20" max="20" width="21.59765625" customWidth="1"/>
    <col min="21" max="22" width="20.59765625" customWidth="1"/>
  </cols>
  <sheetData>
    <row r="1" spans="1:22" ht="29.4" thickBot="1">
      <c r="A1" s="271" t="s">
        <v>23</v>
      </c>
      <c r="B1" s="271"/>
      <c r="C1" s="15"/>
      <c r="D1" s="15"/>
      <c r="E1" s="39" t="s">
        <v>94</v>
      </c>
      <c r="F1" s="15"/>
      <c r="G1" s="15"/>
      <c r="H1" s="15"/>
      <c r="I1" s="15"/>
      <c r="J1" s="15"/>
      <c r="K1" s="15"/>
      <c r="L1" s="15"/>
      <c r="M1" s="15"/>
      <c r="N1" s="15"/>
      <c r="O1" s="15"/>
      <c r="P1" s="15"/>
      <c r="Q1" s="15"/>
      <c r="R1" s="15"/>
      <c r="T1" s="292" t="s">
        <v>329</v>
      </c>
      <c r="U1" s="289"/>
      <c r="V1" s="289"/>
    </row>
    <row r="2" spans="1:22" ht="18" customHeight="1" thickTop="1">
      <c r="A2" s="384" t="s">
        <v>24</v>
      </c>
      <c r="B2" s="385"/>
      <c r="C2" s="409" t="s">
        <v>316</v>
      </c>
      <c r="D2" s="395"/>
      <c r="E2" s="390" t="s">
        <v>25</v>
      </c>
      <c r="F2" s="391"/>
      <c r="G2" s="390" t="s">
        <v>26</v>
      </c>
      <c r="H2" s="391"/>
      <c r="I2" s="394" t="s">
        <v>27</v>
      </c>
      <c r="J2" s="395"/>
      <c r="K2" s="400" t="s">
        <v>28</v>
      </c>
      <c r="L2" s="400"/>
      <c r="M2" s="400"/>
      <c r="N2" s="400"/>
      <c r="O2" s="400"/>
      <c r="P2" s="400"/>
      <c r="Q2" s="400"/>
      <c r="R2" s="401"/>
      <c r="T2" s="293" t="s">
        <v>320</v>
      </c>
      <c r="U2" s="294" t="s">
        <v>321</v>
      </c>
      <c r="V2" s="295" t="s">
        <v>322</v>
      </c>
    </row>
    <row r="3" spans="1:22">
      <c r="A3" s="386"/>
      <c r="B3" s="387"/>
      <c r="C3" s="410"/>
      <c r="D3" s="399"/>
      <c r="E3" s="392"/>
      <c r="F3" s="393"/>
      <c r="G3" s="392"/>
      <c r="H3" s="393"/>
      <c r="I3" s="396"/>
      <c r="J3" s="397"/>
      <c r="K3" s="402"/>
      <c r="L3" s="402"/>
      <c r="M3" s="402"/>
      <c r="N3" s="402"/>
      <c r="O3" s="402"/>
      <c r="P3" s="402"/>
      <c r="Q3" s="402"/>
      <c r="R3" s="403"/>
      <c r="T3" s="296" t="s">
        <v>323</v>
      </c>
      <c r="U3" s="467" t="s">
        <v>327</v>
      </c>
      <c r="V3" s="291" t="s">
        <v>328</v>
      </c>
    </row>
    <row r="4" spans="1:22">
      <c r="A4" s="386"/>
      <c r="B4" s="387"/>
      <c r="C4" s="404">
        <v>38808</v>
      </c>
      <c r="D4" s="391"/>
      <c r="E4" s="405" t="s">
        <v>29</v>
      </c>
      <c r="F4" s="406"/>
      <c r="G4" s="405" t="s">
        <v>29</v>
      </c>
      <c r="H4" s="406"/>
      <c r="I4" s="396"/>
      <c r="J4" s="397"/>
      <c r="K4" s="416" t="s">
        <v>30</v>
      </c>
      <c r="L4" s="417"/>
      <c r="M4" s="417"/>
      <c r="N4" s="417"/>
      <c r="O4" s="417"/>
      <c r="P4" s="380"/>
      <c r="Q4" s="379" t="s">
        <v>31</v>
      </c>
      <c r="R4" s="380"/>
      <c r="T4" s="296" t="s">
        <v>324</v>
      </c>
      <c r="U4" s="467"/>
      <c r="V4" s="297"/>
    </row>
    <row r="5" spans="1:22">
      <c r="A5" s="388"/>
      <c r="B5" s="389"/>
      <c r="C5" s="239" t="s">
        <v>32</v>
      </c>
      <c r="D5" s="237" t="s">
        <v>33</v>
      </c>
      <c r="E5" s="407"/>
      <c r="F5" s="408"/>
      <c r="G5" s="407"/>
      <c r="H5" s="408"/>
      <c r="I5" s="398"/>
      <c r="J5" s="399"/>
      <c r="K5" s="383" t="s">
        <v>32</v>
      </c>
      <c r="L5" s="383"/>
      <c r="M5" s="382"/>
      <c r="N5" s="381" t="s">
        <v>34</v>
      </c>
      <c r="O5" s="383"/>
      <c r="P5" s="382"/>
      <c r="Q5" s="381"/>
      <c r="R5" s="382"/>
      <c r="T5" s="296" t="s">
        <v>325</v>
      </c>
      <c r="U5" s="290" t="s">
        <v>328</v>
      </c>
      <c r="V5" s="298"/>
    </row>
    <row r="6" spans="1:22" ht="18.600000000000001" thickBot="1">
      <c r="A6" s="278" t="s">
        <v>35</v>
      </c>
      <c r="B6" s="279" t="s">
        <v>36</v>
      </c>
      <c r="C6" s="280" t="s">
        <v>37</v>
      </c>
      <c r="D6" s="281" t="s">
        <v>37</v>
      </c>
      <c r="E6" s="282" t="s">
        <v>37</v>
      </c>
      <c r="F6" s="281" t="s">
        <v>38</v>
      </c>
      <c r="G6" s="282" t="s">
        <v>37</v>
      </c>
      <c r="H6" s="283" t="s">
        <v>38</v>
      </c>
      <c r="I6" s="282" t="s">
        <v>37</v>
      </c>
      <c r="J6" s="283" t="s">
        <v>38</v>
      </c>
      <c r="K6" s="280" t="s">
        <v>37</v>
      </c>
      <c r="L6" s="284" t="s">
        <v>39</v>
      </c>
      <c r="M6" s="285" t="s">
        <v>38</v>
      </c>
      <c r="N6" s="284" t="s">
        <v>37</v>
      </c>
      <c r="O6" s="284" t="s">
        <v>39</v>
      </c>
      <c r="P6" s="285" t="s">
        <v>38</v>
      </c>
      <c r="Q6" s="284" t="s">
        <v>37</v>
      </c>
      <c r="R6" s="285" t="s">
        <v>38</v>
      </c>
      <c r="T6" s="299" t="s">
        <v>326</v>
      </c>
      <c r="U6" s="300" t="s">
        <v>330</v>
      </c>
      <c r="V6" s="301"/>
    </row>
    <row r="7" spans="1:22">
      <c r="A7" s="275">
        <v>1</v>
      </c>
      <c r="B7" s="276">
        <v>70400</v>
      </c>
      <c r="C7" s="261"/>
      <c r="D7" s="277">
        <v>10</v>
      </c>
      <c r="E7" s="253"/>
      <c r="F7" s="249"/>
      <c r="G7" s="253"/>
      <c r="H7" s="249"/>
      <c r="I7" s="253"/>
      <c r="J7" s="249"/>
      <c r="K7" s="261"/>
      <c r="L7" s="238"/>
      <c r="M7" s="238"/>
      <c r="N7" s="266"/>
      <c r="O7" s="238"/>
      <c r="P7" s="238"/>
      <c r="Q7" s="266"/>
      <c r="R7" s="238"/>
    </row>
    <row r="8" spans="1:22">
      <c r="A8" s="272">
        <v>2</v>
      </c>
      <c r="B8" s="273">
        <v>65000</v>
      </c>
      <c r="C8" s="260">
        <v>11</v>
      </c>
      <c r="D8" s="37">
        <v>9</v>
      </c>
      <c r="E8" s="252"/>
      <c r="F8" s="241"/>
      <c r="G8" s="252"/>
      <c r="H8" s="241"/>
      <c r="I8" s="252"/>
      <c r="J8" s="241"/>
      <c r="K8" s="260"/>
      <c r="L8" s="16"/>
      <c r="M8" s="16"/>
      <c r="N8" s="35"/>
      <c r="O8" s="16"/>
      <c r="P8" s="16"/>
      <c r="Q8" s="35"/>
      <c r="R8" s="16"/>
    </row>
    <row r="9" spans="1:22" ht="54">
      <c r="A9" s="274">
        <v>3</v>
      </c>
      <c r="B9" s="273">
        <v>59550</v>
      </c>
      <c r="C9" s="260">
        <v>10</v>
      </c>
      <c r="D9" s="37">
        <v>8</v>
      </c>
      <c r="E9" s="252">
        <v>4</v>
      </c>
      <c r="F9" s="242" t="s">
        <v>40</v>
      </c>
      <c r="G9" s="252">
        <v>5</v>
      </c>
      <c r="H9" s="243" t="s">
        <v>58</v>
      </c>
      <c r="I9" s="252"/>
      <c r="J9" s="241"/>
      <c r="K9" s="260"/>
      <c r="L9" s="16"/>
      <c r="M9" s="16"/>
      <c r="N9" s="35"/>
      <c r="O9" s="16"/>
      <c r="P9" s="16"/>
      <c r="Q9" s="35"/>
      <c r="R9" s="16"/>
    </row>
    <row r="10" spans="1:22" ht="54">
      <c r="A10" s="274">
        <v>4</v>
      </c>
      <c r="B10" s="273">
        <v>54150</v>
      </c>
      <c r="C10" s="260">
        <v>9</v>
      </c>
      <c r="D10" s="37">
        <v>7</v>
      </c>
      <c r="E10" s="252">
        <v>4</v>
      </c>
      <c r="F10" s="243" t="s">
        <v>64</v>
      </c>
      <c r="G10" s="252">
        <v>5</v>
      </c>
      <c r="H10" s="243" t="s">
        <v>59</v>
      </c>
      <c r="I10" s="252"/>
      <c r="J10" s="241"/>
      <c r="K10" s="260"/>
      <c r="L10" s="16"/>
      <c r="M10" s="16"/>
      <c r="N10" s="35"/>
      <c r="O10" s="16"/>
      <c r="P10" s="16"/>
      <c r="Q10" s="35"/>
      <c r="R10" s="16"/>
    </row>
    <row r="11" spans="1:22">
      <c r="A11" s="419">
        <v>5</v>
      </c>
      <c r="B11" s="421">
        <v>43350</v>
      </c>
      <c r="C11" s="423">
        <v>8</v>
      </c>
      <c r="D11" s="425">
        <v>6</v>
      </c>
      <c r="E11" s="253">
        <v>4</v>
      </c>
      <c r="F11" s="244" t="s">
        <v>61</v>
      </c>
      <c r="G11" s="411">
        <v>5</v>
      </c>
      <c r="H11" s="413" t="s">
        <v>63</v>
      </c>
      <c r="I11" s="253">
        <v>7</v>
      </c>
      <c r="J11" s="249"/>
      <c r="K11" s="261"/>
      <c r="L11" s="13"/>
      <c r="M11" s="13"/>
      <c r="N11" s="266"/>
      <c r="O11" s="13"/>
      <c r="P11" s="13"/>
      <c r="Q11" s="266"/>
      <c r="R11" s="13"/>
    </row>
    <row r="12" spans="1:22">
      <c r="A12" s="420"/>
      <c r="B12" s="422"/>
      <c r="C12" s="424"/>
      <c r="D12" s="426"/>
      <c r="E12" s="254">
        <v>3</v>
      </c>
      <c r="F12" s="245" t="s">
        <v>62</v>
      </c>
      <c r="G12" s="412"/>
      <c r="H12" s="414"/>
      <c r="I12" s="258">
        <v>6</v>
      </c>
      <c r="J12" s="250"/>
      <c r="K12" s="262"/>
      <c r="L12" s="12"/>
      <c r="M12" s="12"/>
      <c r="N12" s="267"/>
      <c r="O12" s="12"/>
      <c r="P12" s="12"/>
      <c r="Q12" s="267"/>
      <c r="R12" s="12"/>
    </row>
    <row r="13" spans="1:22">
      <c r="A13" s="419">
        <v>6</v>
      </c>
      <c r="B13" s="421">
        <v>32500</v>
      </c>
      <c r="C13" s="423">
        <v>7</v>
      </c>
      <c r="D13" s="425">
        <v>5</v>
      </c>
      <c r="E13" s="255">
        <v>3</v>
      </c>
      <c r="F13" s="246" t="s">
        <v>65</v>
      </c>
      <c r="G13" s="411">
        <v>4</v>
      </c>
      <c r="H13" s="240"/>
      <c r="I13" s="411">
        <v>5</v>
      </c>
      <c r="J13" s="413" t="s">
        <v>68</v>
      </c>
      <c r="K13" s="259"/>
      <c r="L13" s="11"/>
      <c r="M13" s="11"/>
      <c r="N13" s="265"/>
      <c r="O13" s="11"/>
      <c r="P13" s="11"/>
      <c r="Q13" s="265"/>
      <c r="R13" s="11"/>
    </row>
    <row r="14" spans="1:22" ht="17.7" customHeight="1">
      <c r="A14" s="427"/>
      <c r="B14" s="428"/>
      <c r="C14" s="429"/>
      <c r="D14" s="430"/>
      <c r="E14" s="256" t="s">
        <v>66</v>
      </c>
      <c r="F14" s="247" t="s">
        <v>67</v>
      </c>
      <c r="G14" s="415"/>
      <c r="H14" s="249"/>
      <c r="I14" s="415"/>
      <c r="J14" s="418"/>
      <c r="K14" s="261"/>
      <c r="L14" s="13"/>
      <c r="M14" s="13"/>
      <c r="N14" s="266"/>
      <c r="O14" s="13"/>
      <c r="P14" s="13"/>
      <c r="Q14" s="266"/>
      <c r="R14" s="13"/>
    </row>
    <row r="15" spans="1:22" ht="54">
      <c r="A15" s="420"/>
      <c r="B15" s="422"/>
      <c r="C15" s="424"/>
      <c r="D15" s="426"/>
      <c r="E15" s="254">
        <v>2</v>
      </c>
      <c r="F15" s="245" t="s">
        <v>69</v>
      </c>
      <c r="G15" s="412"/>
      <c r="H15" s="250"/>
      <c r="I15" s="412"/>
      <c r="J15" s="414"/>
      <c r="K15" s="262"/>
      <c r="L15" s="12"/>
      <c r="M15" s="12"/>
      <c r="N15" s="267"/>
      <c r="O15" s="12"/>
      <c r="P15" s="12"/>
      <c r="Q15" s="267"/>
      <c r="R15" s="12"/>
    </row>
    <row r="16" spans="1:22">
      <c r="A16" s="419">
        <v>7</v>
      </c>
      <c r="B16" s="421">
        <v>27100</v>
      </c>
      <c r="C16" s="423">
        <v>6</v>
      </c>
      <c r="D16" s="425">
        <v>4</v>
      </c>
      <c r="E16" s="251" t="s">
        <v>66</v>
      </c>
      <c r="F16" s="246" t="s">
        <v>65</v>
      </c>
      <c r="G16" s="411">
        <v>3</v>
      </c>
      <c r="H16" s="240"/>
      <c r="I16" s="411">
        <v>5</v>
      </c>
      <c r="J16" s="413" t="s">
        <v>60</v>
      </c>
      <c r="K16" s="423">
        <v>3</v>
      </c>
      <c r="L16" s="431" t="s">
        <v>42</v>
      </c>
      <c r="M16" s="11"/>
      <c r="N16" s="433">
        <v>3</v>
      </c>
      <c r="O16" s="431" t="s">
        <v>43</v>
      </c>
      <c r="P16" s="11"/>
      <c r="Q16" s="433">
        <v>5</v>
      </c>
      <c r="R16" s="11"/>
    </row>
    <row r="17" spans="1:18" ht="54">
      <c r="A17" s="427"/>
      <c r="B17" s="428"/>
      <c r="C17" s="429"/>
      <c r="D17" s="430"/>
      <c r="E17" s="257">
        <v>2</v>
      </c>
      <c r="F17" s="248" t="s">
        <v>70</v>
      </c>
      <c r="G17" s="412"/>
      <c r="H17" s="249"/>
      <c r="I17" s="412"/>
      <c r="J17" s="414"/>
      <c r="K17" s="424"/>
      <c r="L17" s="432"/>
      <c r="M17" s="19"/>
      <c r="N17" s="434"/>
      <c r="O17" s="432"/>
      <c r="P17" s="13"/>
      <c r="Q17" s="434"/>
      <c r="R17" s="13"/>
    </row>
    <row r="18" spans="1:18" ht="52.95" customHeight="1">
      <c r="A18" s="437">
        <v>8</v>
      </c>
      <c r="B18" s="440">
        <v>21700</v>
      </c>
      <c r="C18" s="423">
        <v>5</v>
      </c>
      <c r="D18" s="425">
        <v>3</v>
      </c>
      <c r="E18" s="411">
        <v>2</v>
      </c>
      <c r="F18" s="413" t="s">
        <v>72</v>
      </c>
      <c r="G18" s="411">
        <v>2</v>
      </c>
      <c r="H18" s="452"/>
      <c r="I18" s="251">
        <v>4</v>
      </c>
      <c r="J18" s="452"/>
      <c r="K18" s="263">
        <v>3</v>
      </c>
      <c r="L18" s="24" t="s">
        <v>44</v>
      </c>
      <c r="M18" s="22"/>
      <c r="N18" s="268">
        <v>3</v>
      </c>
      <c r="O18" s="25" t="s">
        <v>45</v>
      </c>
      <c r="P18" s="21"/>
      <c r="Q18" s="433">
        <v>4</v>
      </c>
      <c r="R18" s="455"/>
    </row>
    <row r="19" spans="1:18" ht="36">
      <c r="A19" s="438"/>
      <c r="B19" s="441"/>
      <c r="C19" s="429"/>
      <c r="D19" s="430"/>
      <c r="E19" s="444"/>
      <c r="F19" s="473"/>
      <c r="G19" s="415"/>
      <c r="H19" s="453"/>
      <c r="I19" s="253">
        <v>3</v>
      </c>
      <c r="J19" s="453"/>
      <c r="K19" s="470">
        <v>2</v>
      </c>
      <c r="L19" s="30" t="s">
        <v>46</v>
      </c>
      <c r="M19" s="31"/>
      <c r="N19" s="448">
        <v>2</v>
      </c>
      <c r="O19" s="26" t="s">
        <v>47</v>
      </c>
      <c r="P19" s="27"/>
      <c r="Q19" s="449"/>
      <c r="R19" s="456"/>
    </row>
    <row r="20" spans="1:18" ht="30.45" customHeight="1">
      <c r="A20" s="438"/>
      <c r="B20" s="441"/>
      <c r="C20" s="429">
        <v>4</v>
      </c>
      <c r="D20" s="430"/>
      <c r="E20" s="445">
        <v>1</v>
      </c>
      <c r="F20" s="443" t="s">
        <v>74</v>
      </c>
      <c r="G20" s="415"/>
      <c r="H20" s="453"/>
      <c r="I20" s="253">
        <v>2</v>
      </c>
      <c r="J20" s="453"/>
      <c r="K20" s="471"/>
      <c r="L20" s="29" t="s">
        <v>48</v>
      </c>
      <c r="M20" s="472" t="s">
        <v>73</v>
      </c>
      <c r="N20" s="449"/>
      <c r="O20" s="28" t="s">
        <v>49</v>
      </c>
      <c r="P20" s="446" t="s">
        <v>73</v>
      </c>
      <c r="Q20" s="450" t="s">
        <v>50</v>
      </c>
      <c r="R20" s="446" t="s">
        <v>73</v>
      </c>
    </row>
    <row r="21" spans="1:18" ht="36">
      <c r="A21" s="439"/>
      <c r="B21" s="442"/>
      <c r="C21" s="424"/>
      <c r="D21" s="426"/>
      <c r="E21" s="412"/>
      <c r="F21" s="414"/>
      <c r="G21" s="412"/>
      <c r="H21" s="454"/>
      <c r="I21" s="258"/>
      <c r="J21" s="454"/>
      <c r="K21" s="264">
        <v>1</v>
      </c>
      <c r="L21" s="32" t="s">
        <v>51</v>
      </c>
      <c r="M21" s="447"/>
      <c r="N21" s="269">
        <v>1</v>
      </c>
      <c r="O21" s="32" t="s">
        <v>52</v>
      </c>
      <c r="P21" s="447"/>
      <c r="Q21" s="451"/>
      <c r="R21" s="447"/>
    </row>
    <row r="22" spans="1:18" ht="72">
      <c r="A22" s="419">
        <v>9</v>
      </c>
      <c r="B22" s="421">
        <v>0</v>
      </c>
      <c r="C22" s="261">
        <v>3</v>
      </c>
      <c r="D22" s="425">
        <v>2</v>
      </c>
      <c r="E22" s="459">
        <v>2</v>
      </c>
      <c r="F22" s="435" t="s">
        <v>63</v>
      </c>
      <c r="G22" s="459">
        <v>2</v>
      </c>
      <c r="H22" s="435" t="s">
        <v>41</v>
      </c>
      <c r="I22" s="459">
        <v>2</v>
      </c>
      <c r="J22" s="435" t="s">
        <v>41</v>
      </c>
      <c r="K22" s="466">
        <v>2</v>
      </c>
      <c r="L22" s="25" t="s">
        <v>75</v>
      </c>
      <c r="M22" s="33" t="s">
        <v>76</v>
      </c>
      <c r="N22" s="433">
        <v>2</v>
      </c>
      <c r="O22" s="25" t="s">
        <v>77</v>
      </c>
      <c r="P22" s="33" t="s">
        <v>76</v>
      </c>
      <c r="Q22" s="464" t="s">
        <v>50</v>
      </c>
      <c r="R22" s="18" t="s">
        <v>71</v>
      </c>
    </row>
    <row r="23" spans="1:18" ht="36">
      <c r="A23" s="427"/>
      <c r="B23" s="428"/>
      <c r="C23" s="261">
        <v>2</v>
      </c>
      <c r="D23" s="430"/>
      <c r="E23" s="460"/>
      <c r="F23" s="436"/>
      <c r="G23" s="460"/>
      <c r="H23" s="436"/>
      <c r="I23" s="460"/>
      <c r="J23" s="436"/>
      <c r="K23" s="457"/>
      <c r="L23" s="34" t="s">
        <v>78</v>
      </c>
      <c r="M23" s="27"/>
      <c r="N23" s="449"/>
      <c r="O23" s="34" t="s">
        <v>79</v>
      </c>
      <c r="P23" s="27"/>
      <c r="Q23" s="465"/>
      <c r="R23" s="13"/>
    </row>
    <row r="24" spans="1:18" ht="36">
      <c r="A24" s="427"/>
      <c r="B24" s="428"/>
      <c r="C24" s="429">
        <v>1</v>
      </c>
      <c r="D24" s="430">
        <v>1</v>
      </c>
      <c r="E24" s="460">
        <v>1</v>
      </c>
      <c r="F24" s="462" t="s">
        <v>80</v>
      </c>
      <c r="G24" s="460">
        <v>1</v>
      </c>
      <c r="H24" s="462"/>
      <c r="I24" s="460">
        <v>1</v>
      </c>
      <c r="J24" s="462"/>
      <c r="K24" s="457">
        <v>1</v>
      </c>
      <c r="L24" s="26" t="s">
        <v>53</v>
      </c>
      <c r="M24" s="23" t="s">
        <v>71</v>
      </c>
      <c r="N24" s="448">
        <v>1</v>
      </c>
      <c r="O24" s="26" t="s">
        <v>54</v>
      </c>
      <c r="P24" s="23" t="s">
        <v>71</v>
      </c>
      <c r="Q24" s="270">
        <v>2</v>
      </c>
      <c r="R24" s="14"/>
    </row>
    <row r="25" spans="1:18" ht="36.6" thickBot="1">
      <c r="A25" s="468"/>
      <c r="B25" s="469"/>
      <c r="C25" s="424"/>
      <c r="D25" s="426"/>
      <c r="E25" s="461"/>
      <c r="F25" s="463"/>
      <c r="G25" s="461"/>
      <c r="H25" s="463"/>
      <c r="I25" s="461"/>
      <c r="J25" s="463"/>
      <c r="K25" s="458"/>
      <c r="L25" s="32" t="s">
        <v>55</v>
      </c>
      <c r="M25" s="20"/>
      <c r="N25" s="434"/>
      <c r="O25" s="32" t="s">
        <v>56</v>
      </c>
      <c r="P25" s="20"/>
      <c r="Q25" s="267">
        <v>1</v>
      </c>
      <c r="R25" s="12"/>
    </row>
    <row r="26" spans="1:18" ht="18.600000000000001" thickTop="1">
      <c r="A26" s="3" t="s">
        <v>57</v>
      </c>
      <c r="B26" s="3"/>
      <c r="C26" s="3"/>
      <c r="D26" s="3"/>
      <c r="F26" s="3"/>
      <c r="G26" s="3"/>
      <c r="H26" s="3"/>
      <c r="I26" s="3"/>
      <c r="J26" s="3"/>
      <c r="K26" s="3"/>
      <c r="L26" s="3"/>
      <c r="M26" s="3"/>
      <c r="N26" s="3"/>
      <c r="O26" s="3"/>
      <c r="P26" s="3"/>
      <c r="Q26" s="3"/>
      <c r="R26" s="3"/>
    </row>
  </sheetData>
  <sheetProtection sheet="1" objects="1" scenarios="1"/>
  <mergeCells count="81">
    <mergeCell ref="U3:U4"/>
    <mergeCell ref="A22:A25"/>
    <mergeCell ref="B22:B25"/>
    <mergeCell ref="C24:C25"/>
    <mergeCell ref="D24:D25"/>
    <mergeCell ref="R20:R21"/>
    <mergeCell ref="D22:D23"/>
    <mergeCell ref="H22:H23"/>
    <mergeCell ref="J22:J23"/>
    <mergeCell ref="K19:K20"/>
    <mergeCell ref="M20:M21"/>
    <mergeCell ref="F18:F19"/>
    <mergeCell ref="Q18:Q19"/>
    <mergeCell ref="C18:C19"/>
    <mergeCell ref="G18:G21"/>
    <mergeCell ref="J18:J21"/>
    <mergeCell ref="H18:H21"/>
    <mergeCell ref="R18:R19"/>
    <mergeCell ref="N24:N25"/>
    <mergeCell ref="K24:K25"/>
    <mergeCell ref="E22:E23"/>
    <mergeCell ref="E24:E25"/>
    <mergeCell ref="F24:F25"/>
    <mergeCell ref="G22:G23"/>
    <mergeCell ref="I22:I23"/>
    <mergeCell ref="G24:G25"/>
    <mergeCell ref="I24:I25"/>
    <mergeCell ref="H24:H25"/>
    <mergeCell ref="N22:N23"/>
    <mergeCell ref="J24:J25"/>
    <mergeCell ref="Q22:Q23"/>
    <mergeCell ref="K22:K23"/>
    <mergeCell ref="F22:F23"/>
    <mergeCell ref="O16:O17"/>
    <mergeCell ref="Q16:Q17"/>
    <mergeCell ref="A18:A21"/>
    <mergeCell ref="B18:B21"/>
    <mergeCell ref="D18:D21"/>
    <mergeCell ref="F20:F21"/>
    <mergeCell ref="E18:E19"/>
    <mergeCell ref="C20:C21"/>
    <mergeCell ref="E20:E21"/>
    <mergeCell ref="P20:P21"/>
    <mergeCell ref="N19:N20"/>
    <mergeCell ref="Q20:Q21"/>
    <mergeCell ref="J16:J17"/>
    <mergeCell ref="I16:I17"/>
    <mergeCell ref="K16:K17"/>
    <mergeCell ref="L16:L17"/>
    <mergeCell ref="N16:N17"/>
    <mergeCell ref="A16:A17"/>
    <mergeCell ref="B16:B17"/>
    <mergeCell ref="C16:C17"/>
    <mergeCell ref="D16:D17"/>
    <mergeCell ref="G16:G17"/>
    <mergeCell ref="A11:A12"/>
    <mergeCell ref="B11:B12"/>
    <mergeCell ref="C11:C12"/>
    <mergeCell ref="D11:D12"/>
    <mergeCell ref="A13:A15"/>
    <mergeCell ref="B13:B15"/>
    <mergeCell ref="C13:C15"/>
    <mergeCell ref="D13:D15"/>
    <mergeCell ref="G11:G12"/>
    <mergeCell ref="H11:H12"/>
    <mergeCell ref="G13:G15"/>
    <mergeCell ref="G4:H5"/>
    <mergeCell ref="K4:P4"/>
    <mergeCell ref="I13:I15"/>
    <mergeCell ref="J13:J15"/>
    <mergeCell ref="Q4:R5"/>
    <mergeCell ref="K5:M5"/>
    <mergeCell ref="N5:P5"/>
    <mergeCell ref="A2:B5"/>
    <mergeCell ref="E2:F3"/>
    <mergeCell ref="G2:H3"/>
    <mergeCell ref="I2:J5"/>
    <mergeCell ref="K2:R3"/>
    <mergeCell ref="C4:D4"/>
    <mergeCell ref="E4:F5"/>
    <mergeCell ref="C2:D3"/>
  </mergeCells>
  <phoneticPr fontId="4"/>
  <hyperlinks>
    <hyperlink ref="E1" location="簡易試算シート!B78" display="簡易試算シートに戻る"/>
  </hyperlinks>
  <pageMargins left="0.7" right="0.7" top="0.75" bottom="0.75" header="0.3" footer="0.3"/>
  <pageSetup paperSize="9" scale="51"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AP52"/>
  <sheetViews>
    <sheetView workbookViewId="0">
      <pane ySplit="1" topLeftCell="A2" activePane="bottomLeft" state="frozen"/>
      <selection pane="bottomLeft" activeCell="AT12" sqref="AT12"/>
    </sheetView>
  </sheetViews>
  <sheetFormatPr defaultColWidth="8.3984375" defaultRowHeight="18"/>
  <cols>
    <col min="1" max="2" width="2.09765625" style="3" customWidth="1"/>
    <col min="3" max="38" width="2.3984375" style="3" customWidth="1"/>
    <col min="39" max="40" width="2.09765625" style="3" customWidth="1"/>
    <col min="41" max="41" width="8.3984375" style="3"/>
    <col min="42" max="42" width="13.8984375" style="3" bestFit="1" customWidth="1"/>
    <col min="43" max="16384" width="8.3984375" style="3"/>
  </cols>
  <sheetData>
    <row r="1" spans="1:42" ht="21">
      <c r="A1" s="135" t="s">
        <v>208</v>
      </c>
      <c r="B1" s="135"/>
      <c r="C1" s="135"/>
      <c r="D1" s="135"/>
      <c r="E1" s="135"/>
      <c r="F1" s="135"/>
      <c r="G1" s="135"/>
      <c r="H1" s="135"/>
      <c r="I1" s="135"/>
      <c r="J1" s="135"/>
      <c r="K1" s="135"/>
      <c r="L1" s="135"/>
      <c r="M1" s="135"/>
      <c r="N1" s="135"/>
      <c r="O1" s="135"/>
      <c r="P1" s="477" t="s">
        <v>94</v>
      </c>
      <c r="Q1" s="477"/>
      <c r="R1" s="477"/>
      <c r="S1" s="477"/>
      <c r="T1" s="477"/>
      <c r="U1" s="477"/>
      <c r="V1" s="477"/>
      <c r="W1" s="477"/>
      <c r="X1" s="477"/>
      <c r="Y1" s="477"/>
      <c r="Z1" s="135"/>
      <c r="AA1" s="135"/>
      <c r="AB1" s="135"/>
      <c r="AC1" s="135"/>
      <c r="AD1" s="135"/>
      <c r="AE1" s="135"/>
      <c r="AF1" s="135"/>
      <c r="AG1" s="135"/>
      <c r="AH1" s="135"/>
      <c r="AI1" s="135"/>
      <c r="AJ1" s="135"/>
      <c r="AK1" s="135"/>
      <c r="AL1" s="135"/>
    </row>
    <row r="2" spans="1:42" ht="18.600000000000001" thickBot="1">
      <c r="A2" s="513" t="s">
        <v>124</v>
      </c>
      <c r="B2" s="513"/>
      <c r="C2" s="513"/>
      <c r="D2" s="513"/>
      <c r="E2" s="513"/>
      <c r="F2" s="513"/>
      <c r="G2" s="513"/>
      <c r="H2" s="513"/>
      <c r="I2" s="513"/>
      <c r="J2" s="513"/>
      <c r="K2" s="513"/>
      <c r="L2" s="513"/>
      <c r="M2" s="513"/>
      <c r="N2" s="513"/>
      <c r="O2" s="513"/>
      <c r="P2" s="513"/>
      <c r="Q2" s="513"/>
      <c r="R2" s="513"/>
      <c r="S2" s="513"/>
      <c r="T2" s="513"/>
      <c r="U2" s="513"/>
      <c r="V2" s="513"/>
      <c r="W2" s="513"/>
      <c r="X2" s="513"/>
      <c r="Y2" s="513"/>
      <c r="Z2" s="513"/>
      <c r="AA2" s="513"/>
      <c r="AB2" s="513"/>
      <c r="AC2" s="513"/>
      <c r="AD2" s="513"/>
      <c r="AE2" s="513"/>
      <c r="AF2" s="513"/>
      <c r="AG2" s="513"/>
      <c r="AH2" s="513"/>
      <c r="AI2" s="513"/>
      <c r="AJ2" s="513"/>
      <c r="AK2" s="513"/>
      <c r="AL2" s="513"/>
    </row>
    <row r="3" spans="1:42" ht="24.75" customHeight="1" thickBot="1">
      <c r="A3" s="508" t="s">
        <v>126</v>
      </c>
      <c r="B3" s="509"/>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288" t="s">
        <v>319</v>
      </c>
      <c r="AE3" s="516">
        <f>簡易試算シート!G21</f>
        <v>33</v>
      </c>
      <c r="AF3" s="516"/>
      <c r="AG3" s="516"/>
      <c r="AH3" s="516"/>
      <c r="AI3" s="516"/>
      <c r="AJ3" s="106" t="s">
        <v>318</v>
      </c>
      <c r="AK3" s="106"/>
      <c r="AL3" s="107"/>
    </row>
    <row r="4" spans="1:42" ht="19.2" thickTop="1" thickBot="1">
      <c r="A4" s="503"/>
      <c r="B4" s="504"/>
      <c r="C4" s="3" t="s">
        <v>127</v>
      </c>
      <c r="AE4" s="499">
        <f>簡易試算シート!D96</f>
        <v>15931925</v>
      </c>
      <c r="AF4" s="500"/>
      <c r="AG4" s="500"/>
      <c r="AH4" s="500"/>
      <c r="AI4" s="500"/>
      <c r="AJ4" s="108" t="s">
        <v>129</v>
      </c>
      <c r="AK4" s="109" t="s">
        <v>130</v>
      </c>
      <c r="AL4" s="110"/>
    </row>
    <row r="5" spans="1:42" ht="19.2" thickTop="1" thickBot="1">
      <c r="A5" s="503"/>
      <c r="B5" s="504"/>
      <c r="AL5" s="110"/>
    </row>
    <row r="6" spans="1:42" ht="19.2" thickTop="1" thickBot="1">
      <c r="A6" s="503"/>
      <c r="B6" s="504"/>
      <c r="C6" s="3" t="s">
        <v>131</v>
      </c>
      <c r="AE6" s="478">
        <f>VLOOKUP(AE3,AO7:AP48,2,FALSE)*1000</f>
        <v>17100000</v>
      </c>
      <c r="AF6" s="479"/>
      <c r="AG6" s="479"/>
      <c r="AH6" s="479"/>
      <c r="AI6" s="479"/>
      <c r="AJ6" s="108" t="s">
        <v>129</v>
      </c>
      <c r="AK6" s="109" t="s">
        <v>132</v>
      </c>
      <c r="AL6" s="110"/>
      <c r="AO6" s="3" t="s">
        <v>125</v>
      </c>
      <c r="AP6" s="3" t="s">
        <v>131</v>
      </c>
    </row>
    <row r="7" spans="1:42" ht="18.600000000000001" thickTop="1">
      <c r="A7" s="503"/>
      <c r="B7" s="504"/>
      <c r="AE7" s="111"/>
      <c r="AF7" s="111"/>
      <c r="AG7" s="111"/>
      <c r="AH7" s="111"/>
      <c r="AI7" s="111"/>
      <c r="AL7" s="109"/>
      <c r="AO7" s="127">
        <v>1</v>
      </c>
      <c r="AP7" s="128">
        <v>800</v>
      </c>
    </row>
    <row r="8" spans="1:42">
      <c r="A8" s="503"/>
      <c r="B8" s="504"/>
      <c r="AC8" s="112" t="s">
        <v>133</v>
      </c>
      <c r="AL8" s="110"/>
      <c r="AO8" s="127">
        <v>2</v>
      </c>
      <c r="AP8" s="128">
        <v>800</v>
      </c>
    </row>
    <row r="9" spans="1:42">
      <c r="A9" s="503"/>
      <c r="B9" s="504"/>
      <c r="F9" s="515" t="s">
        <v>125</v>
      </c>
      <c r="G9" s="515"/>
      <c r="H9" s="514" t="s">
        <v>131</v>
      </c>
      <c r="I9" s="514"/>
      <c r="J9" s="514"/>
      <c r="K9" s="514"/>
      <c r="L9" s="515" t="s">
        <v>125</v>
      </c>
      <c r="M9" s="515"/>
      <c r="N9" s="514" t="s">
        <v>131</v>
      </c>
      <c r="O9" s="514"/>
      <c r="P9" s="514"/>
      <c r="Q9" s="514"/>
      <c r="R9" s="515" t="s">
        <v>125</v>
      </c>
      <c r="S9" s="515"/>
      <c r="T9" s="514" t="s">
        <v>131</v>
      </c>
      <c r="U9" s="514"/>
      <c r="V9" s="514"/>
      <c r="W9" s="514"/>
      <c r="X9" s="515" t="s">
        <v>125</v>
      </c>
      <c r="Y9" s="515"/>
      <c r="Z9" s="514" t="s">
        <v>131</v>
      </c>
      <c r="AA9" s="514"/>
      <c r="AB9" s="514"/>
      <c r="AC9" s="514"/>
      <c r="AL9" s="110"/>
      <c r="AO9" s="127">
        <v>3</v>
      </c>
      <c r="AP9" s="128">
        <v>1200</v>
      </c>
    </row>
    <row r="10" spans="1:42">
      <c r="A10" s="503"/>
      <c r="B10" s="504"/>
      <c r="F10" s="515"/>
      <c r="G10" s="515"/>
      <c r="H10" s="514"/>
      <c r="I10" s="514"/>
      <c r="J10" s="514"/>
      <c r="K10" s="514"/>
      <c r="L10" s="515"/>
      <c r="M10" s="515"/>
      <c r="N10" s="514"/>
      <c r="O10" s="514"/>
      <c r="P10" s="514"/>
      <c r="Q10" s="514"/>
      <c r="R10" s="515"/>
      <c r="S10" s="515"/>
      <c r="T10" s="514"/>
      <c r="U10" s="514"/>
      <c r="V10" s="514"/>
      <c r="W10" s="514"/>
      <c r="X10" s="515"/>
      <c r="Y10" s="515"/>
      <c r="Z10" s="514"/>
      <c r="AA10" s="514"/>
      <c r="AB10" s="514"/>
      <c r="AC10" s="514"/>
      <c r="AL10" s="110"/>
      <c r="AO10" s="127">
        <v>4</v>
      </c>
      <c r="AP10" s="128">
        <v>1600</v>
      </c>
    </row>
    <row r="11" spans="1:42">
      <c r="A11" s="503"/>
      <c r="B11" s="504"/>
      <c r="F11" s="511" t="s">
        <v>134</v>
      </c>
      <c r="G11" s="511"/>
      <c r="H11" s="512">
        <v>800</v>
      </c>
      <c r="I11" s="512"/>
      <c r="J11" s="512"/>
      <c r="K11" s="512"/>
      <c r="L11" s="511" t="s">
        <v>135</v>
      </c>
      <c r="M11" s="511"/>
      <c r="N11" s="512">
        <v>4400</v>
      </c>
      <c r="O11" s="512"/>
      <c r="P11" s="512"/>
      <c r="Q11" s="512"/>
      <c r="R11" s="511" t="s">
        <v>136</v>
      </c>
      <c r="S11" s="511"/>
      <c r="T11" s="512">
        <v>8700</v>
      </c>
      <c r="U11" s="512"/>
      <c r="V11" s="512"/>
      <c r="W11" s="512"/>
      <c r="X11" s="511" t="s">
        <v>137</v>
      </c>
      <c r="Y11" s="511"/>
      <c r="Z11" s="512">
        <v>15700</v>
      </c>
      <c r="AA11" s="512"/>
      <c r="AB11" s="512"/>
      <c r="AC11" s="512"/>
      <c r="AL11" s="110"/>
      <c r="AO11" s="127">
        <v>5</v>
      </c>
      <c r="AP11" s="128">
        <v>2000</v>
      </c>
    </row>
    <row r="12" spans="1:42">
      <c r="A12" s="503"/>
      <c r="B12" s="504"/>
      <c r="F12" s="511" t="s">
        <v>138</v>
      </c>
      <c r="G12" s="511"/>
      <c r="H12" s="512">
        <v>800</v>
      </c>
      <c r="I12" s="512"/>
      <c r="J12" s="512"/>
      <c r="K12" s="512"/>
      <c r="L12" s="511" t="s">
        <v>139</v>
      </c>
      <c r="M12" s="511"/>
      <c r="N12" s="512">
        <v>4800</v>
      </c>
      <c r="O12" s="512"/>
      <c r="P12" s="512"/>
      <c r="Q12" s="512"/>
      <c r="R12" s="511" t="s">
        <v>140</v>
      </c>
      <c r="S12" s="511"/>
      <c r="T12" s="512">
        <v>9400</v>
      </c>
      <c r="U12" s="512"/>
      <c r="V12" s="512"/>
      <c r="W12" s="512"/>
      <c r="X12" s="511" t="s">
        <v>141</v>
      </c>
      <c r="Y12" s="511"/>
      <c r="Z12" s="512">
        <v>16400</v>
      </c>
      <c r="AA12" s="512"/>
      <c r="AB12" s="512"/>
      <c r="AC12" s="512"/>
      <c r="AL12" s="110"/>
      <c r="AO12" s="127">
        <v>6</v>
      </c>
      <c r="AP12" s="128">
        <v>2400</v>
      </c>
    </row>
    <row r="13" spans="1:42">
      <c r="A13" s="503"/>
      <c r="B13" s="504"/>
      <c r="F13" s="511" t="s">
        <v>142</v>
      </c>
      <c r="G13" s="511"/>
      <c r="H13" s="512">
        <v>1200</v>
      </c>
      <c r="I13" s="512"/>
      <c r="J13" s="512"/>
      <c r="K13" s="512"/>
      <c r="L13" s="511" t="s">
        <v>143</v>
      </c>
      <c r="M13" s="511"/>
      <c r="N13" s="512">
        <v>5200</v>
      </c>
      <c r="O13" s="512"/>
      <c r="P13" s="512"/>
      <c r="Q13" s="512"/>
      <c r="R13" s="511" t="s">
        <v>144</v>
      </c>
      <c r="S13" s="511"/>
      <c r="T13" s="512">
        <v>10100</v>
      </c>
      <c r="U13" s="512"/>
      <c r="V13" s="512"/>
      <c r="W13" s="512"/>
      <c r="X13" s="511" t="s">
        <v>145</v>
      </c>
      <c r="Y13" s="511"/>
      <c r="Z13" s="512">
        <v>17100</v>
      </c>
      <c r="AA13" s="512"/>
      <c r="AB13" s="512"/>
      <c r="AC13" s="512"/>
      <c r="AL13" s="110"/>
      <c r="AO13" s="127">
        <v>7</v>
      </c>
      <c r="AP13" s="128">
        <v>2800</v>
      </c>
    </row>
    <row r="14" spans="1:42">
      <c r="A14" s="503"/>
      <c r="B14" s="504"/>
      <c r="F14" s="511" t="s">
        <v>146</v>
      </c>
      <c r="G14" s="511"/>
      <c r="H14" s="512">
        <v>1600</v>
      </c>
      <c r="I14" s="512"/>
      <c r="J14" s="512"/>
      <c r="K14" s="512"/>
      <c r="L14" s="511" t="s">
        <v>147</v>
      </c>
      <c r="M14" s="511"/>
      <c r="N14" s="512">
        <v>5600</v>
      </c>
      <c r="O14" s="512"/>
      <c r="P14" s="512"/>
      <c r="Q14" s="512"/>
      <c r="R14" s="511" t="s">
        <v>148</v>
      </c>
      <c r="S14" s="511"/>
      <c r="T14" s="512">
        <v>10800</v>
      </c>
      <c r="U14" s="512"/>
      <c r="V14" s="512"/>
      <c r="W14" s="512"/>
      <c r="X14" s="511" t="s">
        <v>149</v>
      </c>
      <c r="Y14" s="511"/>
      <c r="Z14" s="512">
        <v>17800</v>
      </c>
      <c r="AA14" s="512"/>
      <c r="AB14" s="512"/>
      <c r="AC14" s="512"/>
      <c r="AD14" s="112"/>
      <c r="AE14" s="113"/>
      <c r="AF14" s="113"/>
      <c r="AG14" s="113"/>
      <c r="AH14" s="113"/>
      <c r="AI14" s="113"/>
      <c r="AL14" s="110"/>
      <c r="AO14" s="127">
        <v>8</v>
      </c>
      <c r="AP14" s="128">
        <v>3200</v>
      </c>
    </row>
    <row r="15" spans="1:42">
      <c r="A15" s="503"/>
      <c r="B15" s="504"/>
      <c r="F15" s="511" t="s">
        <v>150</v>
      </c>
      <c r="G15" s="511"/>
      <c r="H15" s="512">
        <v>2000</v>
      </c>
      <c r="I15" s="512"/>
      <c r="J15" s="512"/>
      <c r="K15" s="512"/>
      <c r="L15" s="511" t="s">
        <v>151</v>
      </c>
      <c r="M15" s="511"/>
      <c r="N15" s="512">
        <v>6000</v>
      </c>
      <c r="O15" s="512"/>
      <c r="P15" s="512"/>
      <c r="Q15" s="512"/>
      <c r="R15" s="511" t="s">
        <v>152</v>
      </c>
      <c r="S15" s="511"/>
      <c r="T15" s="512">
        <v>11500</v>
      </c>
      <c r="U15" s="512"/>
      <c r="V15" s="512"/>
      <c r="W15" s="512"/>
      <c r="X15" s="511" t="s">
        <v>153</v>
      </c>
      <c r="Y15" s="511"/>
      <c r="Z15" s="512">
        <v>18500</v>
      </c>
      <c r="AA15" s="512"/>
      <c r="AB15" s="512"/>
      <c r="AC15" s="512"/>
      <c r="AD15" s="112"/>
      <c r="AE15" s="112"/>
      <c r="AF15" s="112"/>
      <c r="AG15" s="112"/>
      <c r="AH15" s="112"/>
      <c r="AI15" s="112"/>
      <c r="AL15" s="110"/>
      <c r="AO15" s="127">
        <v>9</v>
      </c>
      <c r="AP15" s="128">
        <v>3600</v>
      </c>
    </row>
    <row r="16" spans="1:42">
      <c r="A16" s="503"/>
      <c r="B16" s="504"/>
      <c r="F16" s="511" t="s">
        <v>154</v>
      </c>
      <c r="G16" s="511"/>
      <c r="H16" s="512">
        <v>2400</v>
      </c>
      <c r="I16" s="512"/>
      <c r="J16" s="512"/>
      <c r="K16" s="512"/>
      <c r="L16" s="511" t="s">
        <v>155</v>
      </c>
      <c r="M16" s="511"/>
      <c r="N16" s="512">
        <v>6400</v>
      </c>
      <c r="O16" s="512"/>
      <c r="P16" s="512"/>
      <c r="Q16" s="512"/>
      <c r="R16" s="511" t="s">
        <v>156</v>
      </c>
      <c r="S16" s="511"/>
      <c r="T16" s="512">
        <v>12200</v>
      </c>
      <c r="U16" s="512"/>
      <c r="V16" s="512"/>
      <c r="W16" s="512"/>
      <c r="X16" s="511" t="s">
        <v>157</v>
      </c>
      <c r="Y16" s="511"/>
      <c r="Z16" s="512">
        <v>19200</v>
      </c>
      <c r="AA16" s="512"/>
      <c r="AB16" s="512"/>
      <c r="AC16" s="512"/>
      <c r="AL16" s="110"/>
      <c r="AO16" s="127">
        <v>10</v>
      </c>
      <c r="AP16" s="128">
        <v>4000</v>
      </c>
    </row>
    <row r="17" spans="1:42">
      <c r="A17" s="503"/>
      <c r="B17" s="504"/>
      <c r="F17" s="511" t="s">
        <v>158</v>
      </c>
      <c r="G17" s="511"/>
      <c r="H17" s="512">
        <v>2800</v>
      </c>
      <c r="I17" s="512"/>
      <c r="J17" s="512"/>
      <c r="K17" s="512"/>
      <c r="L17" s="511" t="s">
        <v>159</v>
      </c>
      <c r="M17" s="511"/>
      <c r="N17" s="512">
        <v>6800</v>
      </c>
      <c r="O17" s="512"/>
      <c r="P17" s="512"/>
      <c r="Q17" s="512"/>
      <c r="R17" s="511" t="s">
        <v>160</v>
      </c>
      <c r="S17" s="511"/>
      <c r="T17" s="512">
        <v>12900</v>
      </c>
      <c r="U17" s="512"/>
      <c r="V17" s="512"/>
      <c r="W17" s="512"/>
      <c r="X17" s="511" t="s">
        <v>161</v>
      </c>
      <c r="Y17" s="511"/>
      <c r="Z17" s="512">
        <v>19900</v>
      </c>
      <c r="AA17" s="512"/>
      <c r="AB17" s="512"/>
      <c r="AC17" s="512"/>
      <c r="AL17" s="110"/>
      <c r="AO17" s="127">
        <v>11</v>
      </c>
      <c r="AP17" s="128">
        <v>4400</v>
      </c>
    </row>
    <row r="18" spans="1:42">
      <c r="A18" s="503"/>
      <c r="B18" s="504"/>
      <c r="D18" s="113"/>
      <c r="E18" s="113"/>
      <c r="F18" s="511" t="s">
        <v>162</v>
      </c>
      <c r="G18" s="511"/>
      <c r="H18" s="512">
        <v>3200</v>
      </c>
      <c r="I18" s="512"/>
      <c r="J18" s="512"/>
      <c r="K18" s="512"/>
      <c r="L18" s="511" t="s">
        <v>163</v>
      </c>
      <c r="M18" s="511"/>
      <c r="N18" s="512">
        <v>7200</v>
      </c>
      <c r="O18" s="512"/>
      <c r="P18" s="512"/>
      <c r="Q18" s="512"/>
      <c r="R18" s="511" t="s">
        <v>164</v>
      </c>
      <c r="S18" s="511"/>
      <c r="T18" s="512">
        <v>13600</v>
      </c>
      <c r="U18" s="512"/>
      <c r="V18" s="512"/>
      <c r="W18" s="512"/>
      <c r="X18" s="511" t="s">
        <v>165</v>
      </c>
      <c r="Y18" s="511"/>
      <c r="Z18" s="512">
        <v>20600</v>
      </c>
      <c r="AA18" s="512"/>
      <c r="AB18" s="512"/>
      <c r="AC18" s="512"/>
      <c r="AD18" s="112"/>
      <c r="AE18" s="113"/>
      <c r="AF18" s="113"/>
      <c r="AG18" s="113"/>
      <c r="AH18" s="113"/>
      <c r="AI18" s="113"/>
      <c r="AL18" s="110"/>
      <c r="AO18" s="127">
        <v>12</v>
      </c>
      <c r="AP18" s="128">
        <v>4800</v>
      </c>
    </row>
    <row r="19" spans="1:42">
      <c r="A19" s="503"/>
      <c r="B19" s="504"/>
      <c r="D19" s="113"/>
      <c r="E19" s="113"/>
      <c r="F19" s="511" t="s">
        <v>166</v>
      </c>
      <c r="G19" s="511"/>
      <c r="H19" s="512">
        <v>3600</v>
      </c>
      <c r="I19" s="512"/>
      <c r="J19" s="512"/>
      <c r="K19" s="512"/>
      <c r="L19" s="511" t="s">
        <v>167</v>
      </c>
      <c r="M19" s="511"/>
      <c r="N19" s="512">
        <v>7600</v>
      </c>
      <c r="O19" s="512"/>
      <c r="P19" s="512"/>
      <c r="Q19" s="512"/>
      <c r="R19" s="511" t="s">
        <v>168</v>
      </c>
      <c r="S19" s="511"/>
      <c r="T19" s="512">
        <v>14300</v>
      </c>
      <c r="U19" s="512"/>
      <c r="V19" s="512"/>
      <c r="W19" s="512"/>
      <c r="X19" s="511" t="s">
        <v>169</v>
      </c>
      <c r="Y19" s="511"/>
      <c r="Z19" s="512">
        <v>21300</v>
      </c>
      <c r="AA19" s="512"/>
      <c r="AB19" s="512"/>
      <c r="AC19" s="512"/>
      <c r="AD19" s="112"/>
      <c r="AL19" s="110"/>
      <c r="AO19" s="127">
        <v>13</v>
      </c>
      <c r="AP19" s="128">
        <v>5200</v>
      </c>
    </row>
    <row r="20" spans="1:42">
      <c r="A20" s="503"/>
      <c r="B20" s="504"/>
      <c r="D20" s="114"/>
      <c r="E20" s="114"/>
      <c r="F20" s="511" t="s">
        <v>170</v>
      </c>
      <c r="G20" s="511"/>
      <c r="H20" s="512">
        <v>4000</v>
      </c>
      <c r="I20" s="512"/>
      <c r="J20" s="512"/>
      <c r="K20" s="512"/>
      <c r="L20" s="511" t="s">
        <v>171</v>
      </c>
      <c r="M20" s="511"/>
      <c r="N20" s="512">
        <v>8000</v>
      </c>
      <c r="O20" s="512"/>
      <c r="P20" s="512"/>
      <c r="Q20" s="512"/>
      <c r="R20" s="511" t="s">
        <v>172</v>
      </c>
      <c r="S20" s="511"/>
      <c r="T20" s="512">
        <v>15000</v>
      </c>
      <c r="U20" s="512"/>
      <c r="V20" s="512"/>
      <c r="W20" s="512"/>
      <c r="X20" s="511" t="s">
        <v>173</v>
      </c>
      <c r="Y20" s="511"/>
      <c r="Z20" s="512">
        <v>22000</v>
      </c>
      <c r="AA20" s="512"/>
      <c r="AB20" s="512"/>
      <c r="AC20" s="512"/>
      <c r="AD20" s="114"/>
      <c r="AE20" s="114"/>
      <c r="AF20" s="114"/>
      <c r="AG20" s="114"/>
      <c r="AH20" s="114"/>
      <c r="AI20" s="114"/>
      <c r="AJ20" s="114"/>
      <c r="AK20" s="114"/>
      <c r="AL20" s="110"/>
      <c r="AO20" s="127">
        <v>14</v>
      </c>
      <c r="AP20" s="128">
        <v>5600</v>
      </c>
    </row>
    <row r="21" spans="1:42">
      <c r="A21" s="503"/>
      <c r="B21" s="504"/>
      <c r="D21" s="114"/>
      <c r="E21" s="114"/>
      <c r="F21" s="3" t="s">
        <v>174</v>
      </c>
      <c r="G21" s="112"/>
      <c r="H21" s="113"/>
      <c r="I21" s="113"/>
      <c r="J21" s="113"/>
      <c r="K21" s="113"/>
      <c r="L21" s="112"/>
      <c r="M21" s="112"/>
      <c r="N21" s="113"/>
      <c r="O21" s="113"/>
      <c r="P21" s="113"/>
      <c r="Q21" s="113"/>
      <c r="R21" s="112"/>
      <c r="S21" s="112"/>
      <c r="T21" s="113"/>
      <c r="U21" s="113"/>
      <c r="V21" s="113"/>
      <c r="W21" s="113"/>
      <c r="X21" s="511" t="s">
        <v>175</v>
      </c>
      <c r="Y21" s="511"/>
      <c r="Z21" s="512">
        <f>$Z$20+(700*1)</f>
        <v>22700</v>
      </c>
      <c r="AA21" s="512"/>
      <c r="AB21" s="512"/>
      <c r="AC21" s="512"/>
      <c r="AD21" s="114"/>
      <c r="AE21" s="114"/>
      <c r="AF21" s="114"/>
      <c r="AG21" s="114"/>
      <c r="AH21" s="114"/>
      <c r="AI21" s="114"/>
      <c r="AJ21" s="114"/>
      <c r="AK21" s="114"/>
      <c r="AL21" s="110"/>
      <c r="AO21" s="127">
        <v>15</v>
      </c>
      <c r="AP21" s="128">
        <v>6000</v>
      </c>
    </row>
    <row r="22" spans="1:42">
      <c r="A22" s="503"/>
      <c r="B22" s="504"/>
      <c r="D22" s="114"/>
      <c r="E22" s="114"/>
      <c r="F22" s="3" t="s">
        <v>176</v>
      </c>
      <c r="H22" s="113"/>
      <c r="I22" s="113"/>
      <c r="J22" s="113"/>
      <c r="K22" s="113"/>
      <c r="L22" s="112"/>
      <c r="M22" s="112"/>
      <c r="N22" s="113"/>
      <c r="O22" s="113"/>
      <c r="P22" s="113"/>
      <c r="Q22" s="113"/>
      <c r="R22" s="112"/>
      <c r="S22" s="112"/>
      <c r="T22" s="113"/>
      <c r="U22" s="113"/>
      <c r="V22" s="113"/>
      <c r="W22" s="113"/>
      <c r="X22" s="511" t="s">
        <v>177</v>
      </c>
      <c r="Y22" s="511"/>
      <c r="Z22" s="512">
        <f>$Z$20+(700*2)</f>
        <v>23400</v>
      </c>
      <c r="AA22" s="512"/>
      <c r="AB22" s="512"/>
      <c r="AC22" s="512"/>
      <c r="AD22" s="114"/>
      <c r="AE22" s="114"/>
      <c r="AF22" s="114"/>
      <c r="AG22" s="114"/>
      <c r="AH22" s="114"/>
      <c r="AI22" s="114"/>
      <c r="AJ22" s="114"/>
      <c r="AK22" s="114"/>
      <c r="AL22" s="110"/>
      <c r="AO22" s="127">
        <v>16</v>
      </c>
      <c r="AP22" s="128">
        <v>6400</v>
      </c>
    </row>
    <row r="23" spans="1:42" ht="18.600000000000001" thickBot="1">
      <c r="A23" s="503"/>
      <c r="B23" s="504"/>
      <c r="AL23" s="110"/>
      <c r="AO23" s="127">
        <v>17</v>
      </c>
      <c r="AP23" s="128">
        <v>6800</v>
      </c>
    </row>
    <row r="24" spans="1:42" ht="19.2" thickTop="1" thickBot="1">
      <c r="A24" s="503"/>
      <c r="B24" s="504"/>
      <c r="C24" s="3" t="s">
        <v>178</v>
      </c>
      <c r="AE24" s="499">
        <f>IF(AE4-AE6&lt;=0,0,AE4-AE6)</f>
        <v>0</v>
      </c>
      <c r="AF24" s="500"/>
      <c r="AG24" s="500"/>
      <c r="AH24" s="500"/>
      <c r="AI24" s="500"/>
      <c r="AJ24" s="108" t="s">
        <v>129</v>
      </c>
      <c r="AK24" s="109" t="s">
        <v>179</v>
      </c>
      <c r="AL24" s="110"/>
      <c r="AO24" s="127">
        <v>18</v>
      </c>
      <c r="AP24" s="128">
        <v>7200</v>
      </c>
    </row>
    <row r="25" spans="1:42" ht="19.2" thickTop="1" thickBot="1">
      <c r="A25" s="503"/>
      <c r="B25" s="504"/>
      <c r="D25" s="235" t="s">
        <v>310</v>
      </c>
      <c r="AE25" s="113"/>
      <c r="AF25" s="113"/>
      <c r="AG25" s="113"/>
      <c r="AH25" s="113"/>
      <c r="AI25" s="113"/>
      <c r="AL25" s="109"/>
      <c r="AO25" s="127">
        <v>19</v>
      </c>
      <c r="AP25" s="128">
        <v>7600</v>
      </c>
    </row>
    <row r="26" spans="1:42" ht="19.2" thickTop="1" thickBot="1">
      <c r="A26" s="503"/>
      <c r="B26" s="504"/>
      <c r="C26" s="3" t="s">
        <v>180</v>
      </c>
      <c r="AE26" s="499">
        <f>ROUNDDOWN(AE24/2,-3)</f>
        <v>0</v>
      </c>
      <c r="AF26" s="500"/>
      <c r="AG26" s="500"/>
      <c r="AH26" s="500"/>
      <c r="AI26" s="500"/>
      <c r="AJ26" s="108" t="s">
        <v>129</v>
      </c>
      <c r="AK26" s="109" t="s">
        <v>181</v>
      </c>
      <c r="AL26" s="110"/>
      <c r="AO26" s="127">
        <v>20</v>
      </c>
      <c r="AP26" s="128">
        <v>8000</v>
      </c>
    </row>
    <row r="27" spans="1:42" ht="19.2" thickTop="1" thickBot="1">
      <c r="A27" s="503"/>
      <c r="B27" s="504"/>
      <c r="AL27" s="110"/>
      <c r="AO27" s="127">
        <v>21</v>
      </c>
      <c r="AP27" s="128">
        <v>8700</v>
      </c>
    </row>
    <row r="28" spans="1:42" ht="18.600000000000001" thickTop="1">
      <c r="A28" s="501" t="s">
        <v>182</v>
      </c>
      <c r="B28" s="502"/>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6"/>
      <c r="AO28" s="127">
        <v>22</v>
      </c>
      <c r="AP28" s="128">
        <v>9400</v>
      </c>
    </row>
    <row r="29" spans="1:42" ht="18.600000000000001" thickBot="1">
      <c r="A29" s="503"/>
      <c r="B29" s="504"/>
      <c r="D29" s="3" t="s">
        <v>183</v>
      </c>
      <c r="M29" s="3" t="s">
        <v>184</v>
      </c>
      <c r="Q29" s="3" t="s">
        <v>185</v>
      </c>
      <c r="Y29" s="117" t="s">
        <v>186</v>
      </c>
      <c r="Z29" s="117"/>
      <c r="AA29" s="117"/>
      <c r="AB29" s="117"/>
      <c r="AC29" s="117"/>
      <c r="AD29" s="117"/>
      <c r="AE29" s="3" t="s">
        <v>187</v>
      </c>
      <c r="AL29" s="110"/>
      <c r="AO29" s="127">
        <v>23</v>
      </c>
      <c r="AP29" s="128">
        <v>10100</v>
      </c>
    </row>
    <row r="30" spans="1:42" ht="19.2" thickTop="1" thickBot="1">
      <c r="A30" s="503"/>
      <c r="B30" s="504"/>
      <c r="C30" s="112" t="s">
        <v>188</v>
      </c>
      <c r="D30" s="489">
        <f>IF(簡易試算シート!$C$17="公務外死亡","-",$AE$26)</f>
        <v>0</v>
      </c>
      <c r="E30" s="489"/>
      <c r="F30" s="489"/>
      <c r="G30" s="489"/>
      <c r="H30" s="489"/>
      <c r="I30" s="490" t="s">
        <v>189</v>
      </c>
      <c r="J30" s="490"/>
      <c r="K30" s="490"/>
      <c r="L30" s="491">
        <f>IF($AE26&lt;=1950000,U33,IF(AND($AE26&gt;1950000,$AE26&lt;=3300000),U34,IF(AND($AE26&gt;3300000,$AE26&lt;=6950000),U35,IF(AND($AE26&gt;6950000,$AE26&lt;=9000000),U36,IF(AND($AE26&gt;9000000,$AE26&lt;=18000000),U37,U38)))))</f>
        <v>5</v>
      </c>
      <c r="M30" s="491"/>
      <c r="N30" s="490" t="s">
        <v>190</v>
      </c>
      <c r="O30" s="490"/>
      <c r="P30" s="490"/>
      <c r="Q30" s="489">
        <f>IF($AE26&lt;=1950000,AC33,IF(AND($AE26&gt;1950000,$AE26&lt;=3300000),Y34,IF(AND($AE26&gt;3300000,$AE26&lt;=6950000),Y35,IF(AND($AE26&gt;6950000,$AE26&lt;=9000000),Y36,IF(AND($AE26&gt;9000000,$AE26&lt;=18000000),Y37,Y38)))))</f>
        <v>0</v>
      </c>
      <c r="R30" s="489"/>
      <c r="S30" s="489"/>
      <c r="T30" s="489"/>
      <c r="U30" s="489"/>
      <c r="V30" s="3" t="s">
        <v>129</v>
      </c>
      <c r="W30" s="3" t="s">
        <v>191</v>
      </c>
      <c r="X30" s="3" t="s">
        <v>192</v>
      </c>
      <c r="Y30" s="118"/>
      <c r="Z30" s="507">
        <v>102.1</v>
      </c>
      <c r="AA30" s="507"/>
      <c r="AB30" s="507"/>
      <c r="AC30" s="3" t="s">
        <v>193</v>
      </c>
      <c r="AD30" s="3" t="s">
        <v>194</v>
      </c>
      <c r="AE30" s="478">
        <f>IF(D30="-",D30,ROUNDDOWN((D30*L30/100-Q30)*Z30/100,0))</f>
        <v>0</v>
      </c>
      <c r="AF30" s="479"/>
      <c r="AG30" s="479"/>
      <c r="AH30" s="479"/>
      <c r="AI30" s="479"/>
      <c r="AJ30" s="108" t="s">
        <v>129</v>
      </c>
      <c r="AL30" s="109"/>
      <c r="AO30" s="127">
        <v>24</v>
      </c>
      <c r="AP30" s="128">
        <v>10800</v>
      </c>
    </row>
    <row r="31" spans="1:42" ht="18.600000000000001" thickTop="1">
      <c r="A31" s="503"/>
      <c r="B31" s="504"/>
      <c r="AD31" s="480" t="s">
        <v>195</v>
      </c>
      <c r="AE31" s="481"/>
      <c r="AF31" s="481"/>
      <c r="AG31" s="481"/>
      <c r="AH31" s="481"/>
      <c r="AI31" s="481"/>
      <c r="AJ31" s="481"/>
      <c r="AK31" s="481"/>
      <c r="AL31" s="482"/>
      <c r="AO31" s="127">
        <v>25</v>
      </c>
      <c r="AP31" s="128">
        <v>11500</v>
      </c>
    </row>
    <row r="32" spans="1:42">
      <c r="A32" s="503"/>
      <c r="B32" s="504"/>
      <c r="F32" s="510" t="s">
        <v>196</v>
      </c>
      <c r="G32" s="495"/>
      <c r="H32" s="495"/>
      <c r="I32" s="495"/>
      <c r="J32" s="495"/>
      <c r="K32" s="495"/>
      <c r="L32" s="495"/>
      <c r="M32" s="495"/>
      <c r="N32" s="495"/>
      <c r="O32" s="495"/>
      <c r="P32" s="495"/>
      <c r="Q32" s="495"/>
      <c r="R32" s="495"/>
      <c r="S32" s="495"/>
      <c r="T32" s="498"/>
      <c r="U32" s="510" t="s">
        <v>197</v>
      </c>
      <c r="V32" s="495"/>
      <c r="W32" s="495"/>
      <c r="X32" s="510" t="s">
        <v>185</v>
      </c>
      <c r="Y32" s="495"/>
      <c r="Z32" s="495"/>
      <c r="AA32" s="495"/>
      <c r="AB32" s="495"/>
      <c r="AC32" s="498"/>
      <c r="AL32" s="110"/>
      <c r="AO32" s="127">
        <v>26</v>
      </c>
      <c r="AP32" s="128">
        <v>12200</v>
      </c>
    </row>
    <row r="33" spans="1:42">
      <c r="A33" s="503"/>
      <c r="B33" s="504"/>
      <c r="F33" s="496">
        <v>0</v>
      </c>
      <c r="G33" s="497"/>
      <c r="H33" s="497"/>
      <c r="I33" s="497"/>
      <c r="J33" s="497"/>
      <c r="K33" s="495" t="s">
        <v>198</v>
      </c>
      <c r="L33" s="495"/>
      <c r="M33" s="494">
        <v>1950000</v>
      </c>
      <c r="N33" s="494"/>
      <c r="O33" s="494"/>
      <c r="P33" s="494"/>
      <c r="Q33" s="494"/>
      <c r="R33" s="495" t="s">
        <v>199</v>
      </c>
      <c r="S33" s="495"/>
      <c r="T33" s="498"/>
      <c r="U33" s="496">
        <v>5</v>
      </c>
      <c r="V33" s="497"/>
      <c r="W33" s="119" t="s">
        <v>193</v>
      </c>
      <c r="X33" s="510" t="s">
        <v>200</v>
      </c>
      <c r="Y33" s="495"/>
      <c r="Z33" s="495"/>
      <c r="AA33" s="495"/>
      <c r="AB33" s="495"/>
      <c r="AC33" s="498"/>
      <c r="AL33" s="110"/>
      <c r="AO33" s="127">
        <v>27</v>
      </c>
      <c r="AP33" s="128">
        <v>12900</v>
      </c>
    </row>
    <row r="34" spans="1:42">
      <c r="A34" s="503"/>
      <c r="B34" s="504"/>
      <c r="F34" s="493">
        <v>1950000</v>
      </c>
      <c r="G34" s="494"/>
      <c r="H34" s="494"/>
      <c r="I34" s="494"/>
      <c r="J34" s="494"/>
      <c r="K34" s="495" t="s">
        <v>198</v>
      </c>
      <c r="L34" s="495"/>
      <c r="M34" s="494">
        <v>3300000</v>
      </c>
      <c r="N34" s="494"/>
      <c r="O34" s="494"/>
      <c r="P34" s="494"/>
      <c r="Q34" s="494"/>
      <c r="R34" s="495" t="s">
        <v>199</v>
      </c>
      <c r="S34" s="495"/>
      <c r="T34" s="498"/>
      <c r="U34" s="496">
        <v>10</v>
      </c>
      <c r="V34" s="497"/>
      <c r="W34" s="119" t="s">
        <v>193</v>
      </c>
      <c r="X34" s="17"/>
      <c r="Y34" s="494">
        <v>97500</v>
      </c>
      <c r="Z34" s="494"/>
      <c r="AA34" s="494"/>
      <c r="AB34" s="494"/>
      <c r="AC34" s="120" t="s">
        <v>129</v>
      </c>
      <c r="AE34" s="121"/>
      <c r="AF34" s="121"/>
      <c r="AG34" s="121"/>
      <c r="AH34" s="121"/>
      <c r="AI34" s="121"/>
      <c r="AL34" s="110"/>
      <c r="AO34" s="127">
        <v>28</v>
      </c>
      <c r="AP34" s="128">
        <v>13600</v>
      </c>
    </row>
    <row r="35" spans="1:42">
      <c r="A35" s="503"/>
      <c r="B35" s="504"/>
      <c r="F35" s="493">
        <v>3300000</v>
      </c>
      <c r="G35" s="494"/>
      <c r="H35" s="494"/>
      <c r="I35" s="494"/>
      <c r="J35" s="494"/>
      <c r="K35" s="495" t="s">
        <v>198</v>
      </c>
      <c r="L35" s="495"/>
      <c r="M35" s="494">
        <v>6950000</v>
      </c>
      <c r="N35" s="494"/>
      <c r="O35" s="494"/>
      <c r="P35" s="494"/>
      <c r="Q35" s="494"/>
      <c r="R35" s="495" t="s">
        <v>199</v>
      </c>
      <c r="S35" s="495"/>
      <c r="T35" s="498"/>
      <c r="U35" s="496">
        <v>20</v>
      </c>
      <c r="V35" s="497"/>
      <c r="W35" s="119" t="s">
        <v>193</v>
      </c>
      <c r="X35" s="17"/>
      <c r="Y35" s="494">
        <v>427500</v>
      </c>
      <c r="Z35" s="494"/>
      <c r="AA35" s="494"/>
      <c r="AB35" s="494"/>
      <c r="AC35" s="120" t="s">
        <v>129</v>
      </c>
      <c r="AE35" s="122"/>
      <c r="AF35" s="122"/>
      <c r="AG35" s="122"/>
      <c r="AH35" s="122"/>
      <c r="AI35" s="122"/>
      <c r="AL35" s="110"/>
      <c r="AO35" s="127">
        <v>29</v>
      </c>
      <c r="AP35" s="128">
        <v>14300</v>
      </c>
    </row>
    <row r="36" spans="1:42">
      <c r="A36" s="503"/>
      <c r="B36" s="504"/>
      <c r="F36" s="493">
        <v>6950000</v>
      </c>
      <c r="G36" s="494"/>
      <c r="H36" s="494"/>
      <c r="I36" s="494"/>
      <c r="J36" s="494"/>
      <c r="K36" s="495" t="s">
        <v>198</v>
      </c>
      <c r="L36" s="495"/>
      <c r="M36" s="494">
        <v>9000000</v>
      </c>
      <c r="N36" s="494"/>
      <c r="O36" s="494"/>
      <c r="P36" s="494"/>
      <c r="Q36" s="494"/>
      <c r="R36" s="495" t="s">
        <v>199</v>
      </c>
      <c r="S36" s="495"/>
      <c r="T36" s="498"/>
      <c r="U36" s="496">
        <v>23</v>
      </c>
      <c r="V36" s="497"/>
      <c r="W36" s="119" t="s">
        <v>193</v>
      </c>
      <c r="X36" s="17"/>
      <c r="Y36" s="494">
        <v>636000</v>
      </c>
      <c r="Z36" s="494"/>
      <c r="AA36" s="494"/>
      <c r="AB36" s="494"/>
      <c r="AC36" s="120" t="s">
        <v>129</v>
      </c>
      <c r="AE36" s="122"/>
      <c r="AF36" s="122"/>
      <c r="AG36" s="122"/>
      <c r="AH36" s="122"/>
      <c r="AI36" s="122"/>
      <c r="AL36" s="110"/>
      <c r="AO36" s="127">
        <v>30</v>
      </c>
      <c r="AP36" s="128">
        <v>15000</v>
      </c>
    </row>
    <row r="37" spans="1:42">
      <c r="A37" s="503"/>
      <c r="B37" s="504"/>
      <c r="F37" s="493">
        <v>9000000</v>
      </c>
      <c r="G37" s="494"/>
      <c r="H37" s="494"/>
      <c r="I37" s="494"/>
      <c r="J37" s="494"/>
      <c r="K37" s="495" t="s">
        <v>198</v>
      </c>
      <c r="L37" s="495"/>
      <c r="M37" s="494">
        <v>18000000</v>
      </c>
      <c r="N37" s="494"/>
      <c r="O37" s="494"/>
      <c r="P37" s="494"/>
      <c r="Q37" s="494"/>
      <c r="R37" s="495" t="s">
        <v>199</v>
      </c>
      <c r="S37" s="495"/>
      <c r="T37" s="498"/>
      <c r="U37" s="496">
        <v>33</v>
      </c>
      <c r="V37" s="497"/>
      <c r="W37" s="119" t="s">
        <v>193</v>
      </c>
      <c r="X37" s="17"/>
      <c r="Y37" s="494">
        <v>1536000</v>
      </c>
      <c r="Z37" s="494"/>
      <c r="AA37" s="494"/>
      <c r="AB37" s="494"/>
      <c r="AC37" s="120" t="s">
        <v>129</v>
      </c>
      <c r="AE37" s="122"/>
      <c r="AF37" s="122"/>
      <c r="AG37" s="122"/>
      <c r="AH37" s="122"/>
      <c r="AI37" s="122"/>
      <c r="AL37" s="110"/>
      <c r="AO37" s="127">
        <v>31</v>
      </c>
      <c r="AP37" s="128">
        <v>15700</v>
      </c>
    </row>
    <row r="38" spans="1:42">
      <c r="A38" s="503"/>
      <c r="B38" s="504"/>
      <c r="F38" s="493">
        <v>18000000</v>
      </c>
      <c r="G38" s="494"/>
      <c r="H38" s="494"/>
      <c r="I38" s="494"/>
      <c r="J38" s="494"/>
      <c r="K38" s="495" t="s">
        <v>198</v>
      </c>
      <c r="L38" s="495"/>
      <c r="M38" s="123"/>
      <c r="N38" s="123"/>
      <c r="O38" s="123"/>
      <c r="P38" s="123"/>
      <c r="Q38" s="123"/>
      <c r="R38" s="123"/>
      <c r="S38" s="123"/>
      <c r="T38" s="36"/>
      <c r="U38" s="496">
        <v>40</v>
      </c>
      <c r="V38" s="497"/>
      <c r="W38" s="119" t="s">
        <v>193</v>
      </c>
      <c r="X38" s="17"/>
      <c r="Y38" s="494">
        <v>2796000</v>
      </c>
      <c r="Z38" s="494"/>
      <c r="AA38" s="494"/>
      <c r="AB38" s="494"/>
      <c r="AC38" s="120" t="s">
        <v>129</v>
      </c>
      <c r="AE38" s="122"/>
      <c r="AF38" s="122"/>
      <c r="AG38" s="122"/>
      <c r="AH38" s="122"/>
      <c r="AI38" s="122"/>
      <c r="AL38" s="110"/>
      <c r="AO38" s="127">
        <v>32</v>
      </c>
      <c r="AP38" s="128">
        <v>16400</v>
      </c>
    </row>
    <row r="39" spans="1:42" ht="18.600000000000001" thickBot="1">
      <c r="A39" s="505"/>
      <c r="B39" s="506"/>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5"/>
      <c r="AO39" s="127">
        <v>33</v>
      </c>
      <c r="AP39" s="128">
        <v>17100</v>
      </c>
    </row>
    <row r="40" spans="1:42">
      <c r="A40" s="483" t="s">
        <v>201</v>
      </c>
      <c r="B40" s="484"/>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7"/>
      <c r="AO40" s="127">
        <v>34</v>
      </c>
      <c r="AP40" s="128">
        <v>17800</v>
      </c>
    </row>
    <row r="41" spans="1:42" ht="18.600000000000001" thickBot="1">
      <c r="A41" s="485"/>
      <c r="B41" s="486"/>
      <c r="D41" s="3" t="s">
        <v>183</v>
      </c>
      <c r="M41" s="3" t="s">
        <v>184</v>
      </c>
      <c r="N41" s="112"/>
      <c r="O41" s="112"/>
      <c r="P41" s="112"/>
      <c r="Q41" s="112"/>
      <c r="W41" s="112"/>
      <c r="AE41" s="3" t="s">
        <v>202</v>
      </c>
      <c r="AL41" s="110"/>
      <c r="AO41" s="127">
        <v>35</v>
      </c>
      <c r="AP41" s="128">
        <v>18500</v>
      </c>
    </row>
    <row r="42" spans="1:42" ht="19.2" thickTop="1" thickBot="1">
      <c r="A42" s="485"/>
      <c r="B42" s="486"/>
      <c r="D42" s="489">
        <f>IF(簡易試算シート!$C$17="公務外死亡","-",$AE$26)</f>
        <v>0</v>
      </c>
      <c r="E42" s="489"/>
      <c r="F42" s="489"/>
      <c r="G42" s="489"/>
      <c r="H42" s="489"/>
      <c r="I42" s="490" t="s">
        <v>189</v>
      </c>
      <c r="J42" s="490"/>
      <c r="K42" s="490"/>
      <c r="L42" s="491">
        <v>6</v>
      </c>
      <c r="M42" s="491"/>
      <c r="N42" s="490" t="s">
        <v>203</v>
      </c>
      <c r="O42" s="490"/>
      <c r="P42" s="490"/>
      <c r="R42" s="492"/>
      <c r="S42" s="492"/>
      <c r="V42" s="126"/>
      <c r="W42" s="113"/>
      <c r="Z42" s="3" t="s">
        <v>194</v>
      </c>
      <c r="AE42" s="478">
        <f>IF(D42="-",D42,ROUNDDOWN(D42*L42/100,-2))</f>
        <v>0</v>
      </c>
      <c r="AF42" s="479"/>
      <c r="AG42" s="479"/>
      <c r="AH42" s="479"/>
      <c r="AI42" s="479"/>
      <c r="AJ42" s="108" t="s">
        <v>129</v>
      </c>
      <c r="AL42" s="109"/>
      <c r="AO42" s="127">
        <v>36</v>
      </c>
      <c r="AP42" s="128">
        <v>19200</v>
      </c>
    </row>
    <row r="43" spans="1:42" ht="18.600000000000001" thickTop="1">
      <c r="A43" s="485"/>
      <c r="B43" s="486"/>
      <c r="AD43" s="480" t="s">
        <v>204</v>
      </c>
      <c r="AE43" s="481"/>
      <c r="AF43" s="481"/>
      <c r="AG43" s="481"/>
      <c r="AH43" s="481"/>
      <c r="AI43" s="481"/>
      <c r="AJ43" s="481"/>
      <c r="AK43" s="481"/>
      <c r="AL43" s="482"/>
      <c r="AO43" s="127">
        <v>37</v>
      </c>
      <c r="AP43" s="128">
        <v>19900</v>
      </c>
    </row>
    <row r="44" spans="1:42" ht="18.600000000000001" thickBot="1">
      <c r="A44" s="487"/>
      <c r="B44" s="488"/>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5"/>
      <c r="AO44" s="127">
        <v>38</v>
      </c>
      <c r="AP44" s="128">
        <v>20600</v>
      </c>
    </row>
    <row r="45" spans="1:42">
      <c r="A45" s="483" t="s">
        <v>205</v>
      </c>
      <c r="B45" s="484"/>
      <c r="C45" s="106"/>
      <c r="D45" s="106"/>
      <c r="E45" s="106"/>
      <c r="F45" s="106"/>
      <c r="G45" s="106"/>
      <c r="H45" s="106"/>
      <c r="I45" s="106"/>
      <c r="J45" s="106"/>
      <c r="K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7"/>
      <c r="AO45" s="127">
        <v>39</v>
      </c>
      <c r="AP45" s="128">
        <v>21300</v>
      </c>
    </row>
    <row r="46" spans="1:42" ht="18.600000000000001" thickBot="1">
      <c r="A46" s="485"/>
      <c r="B46" s="486"/>
      <c r="D46" s="3" t="s">
        <v>183</v>
      </c>
      <c r="M46" s="3" t="s">
        <v>184</v>
      </c>
      <c r="N46" s="112"/>
      <c r="O46" s="112"/>
      <c r="P46" s="112"/>
      <c r="Q46" s="112"/>
      <c r="W46" s="112"/>
      <c r="AE46" s="3" t="s">
        <v>206</v>
      </c>
      <c r="AL46" s="110"/>
      <c r="AO46" s="127">
        <v>40</v>
      </c>
      <c r="AP46" s="128">
        <v>22000</v>
      </c>
    </row>
    <row r="47" spans="1:42" ht="19.2" thickTop="1" thickBot="1">
      <c r="A47" s="485"/>
      <c r="B47" s="486"/>
      <c r="D47" s="489">
        <f>IF(簡易試算シート!$C$17="公務外死亡","-",$AE$26)</f>
        <v>0</v>
      </c>
      <c r="E47" s="489"/>
      <c r="F47" s="489"/>
      <c r="G47" s="489"/>
      <c r="H47" s="489"/>
      <c r="I47" s="490" t="s">
        <v>189</v>
      </c>
      <c r="J47" s="490"/>
      <c r="K47" s="490"/>
      <c r="L47" s="491">
        <v>4</v>
      </c>
      <c r="M47" s="491"/>
      <c r="N47" s="490" t="s">
        <v>203</v>
      </c>
      <c r="O47" s="490"/>
      <c r="P47" s="490"/>
      <c r="R47" s="492"/>
      <c r="S47" s="492"/>
      <c r="V47" s="126"/>
      <c r="W47" s="113"/>
      <c r="Z47" s="3" t="s">
        <v>194</v>
      </c>
      <c r="AE47" s="478">
        <f>IF(D47="-",D47,ROUNDDOWN(D47*L47/100,-2))</f>
        <v>0</v>
      </c>
      <c r="AF47" s="479"/>
      <c r="AG47" s="479"/>
      <c r="AH47" s="479"/>
      <c r="AI47" s="479"/>
      <c r="AJ47" s="108" t="s">
        <v>129</v>
      </c>
      <c r="AL47" s="109"/>
      <c r="AO47" s="127">
        <v>41</v>
      </c>
      <c r="AP47" s="128">
        <v>22700</v>
      </c>
    </row>
    <row r="48" spans="1:42" ht="18.600000000000001" thickTop="1">
      <c r="A48" s="485"/>
      <c r="B48" s="486"/>
      <c r="AD48" s="480" t="s">
        <v>204</v>
      </c>
      <c r="AE48" s="481"/>
      <c r="AF48" s="481"/>
      <c r="AG48" s="481"/>
      <c r="AH48" s="481"/>
      <c r="AI48" s="481"/>
      <c r="AJ48" s="481"/>
      <c r="AK48" s="481"/>
      <c r="AL48" s="482"/>
      <c r="AO48" s="127">
        <v>42</v>
      </c>
      <c r="AP48" s="128">
        <v>23400</v>
      </c>
    </row>
    <row r="49" spans="1:41" ht="18.600000000000001" thickBot="1">
      <c r="A49" s="487"/>
      <c r="B49" s="488"/>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5"/>
      <c r="AO49" s="127"/>
    </row>
    <row r="50" spans="1:41" ht="18.600000000000001" thickBot="1">
      <c r="AO50" s="127"/>
    </row>
    <row r="51" spans="1:41" ht="19.2" thickTop="1" thickBot="1">
      <c r="AB51" s="3" t="s">
        <v>207</v>
      </c>
      <c r="AE51" s="474">
        <f>IF(D30="-",D30,AE47+AE42+AE30)</f>
        <v>0</v>
      </c>
      <c r="AF51" s="475"/>
      <c r="AG51" s="475"/>
      <c r="AH51" s="475"/>
      <c r="AI51" s="476"/>
      <c r="AJ51" s="3" t="s">
        <v>129</v>
      </c>
    </row>
    <row r="52" spans="1:41" ht="18.600000000000001" thickTop="1"/>
  </sheetData>
  <sheetProtection sheet="1" objects="1" scenarios="1"/>
  <mergeCells count="163">
    <mergeCell ref="A2:AL2"/>
    <mergeCell ref="Z9:AC10"/>
    <mergeCell ref="F11:G11"/>
    <mergeCell ref="H11:K11"/>
    <mergeCell ref="L11:M11"/>
    <mergeCell ref="N11:Q11"/>
    <mergeCell ref="R11:S11"/>
    <mergeCell ref="T11:W11"/>
    <mergeCell ref="X11:Y11"/>
    <mergeCell ref="Z11:AC11"/>
    <mergeCell ref="F9:G10"/>
    <mergeCell ref="H9:K10"/>
    <mergeCell ref="L9:M10"/>
    <mergeCell ref="N9:Q10"/>
    <mergeCell ref="R9:S10"/>
    <mergeCell ref="T9:W10"/>
    <mergeCell ref="X9:Y10"/>
    <mergeCell ref="AE3:AI3"/>
    <mergeCell ref="X12:Y12"/>
    <mergeCell ref="Z12:AC12"/>
    <mergeCell ref="F13:G13"/>
    <mergeCell ref="H13:K13"/>
    <mergeCell ref="L13:M13"/>
    <mergeCell ref="N13:Q13"/>
    <mergeCell ref="R13:S13"/>
    <mergeCell ref="T13:W13"/>
    <mergeCell ref="X13:Y13"/>
    <mergeCell ref="Z13:AC13"/>
    <mergeCell ref="F12:G12"/>
    <mergeCell ref="H12:K12"/>
    <mergeCell ref="L12:M12"/>
    <mergeCell ref="N12:Q12"/>
    <mergeCell ref="R12:S12"/>
    <mergeCell ref="T12:W12"/>
    <mergeCell ref="X14:Y14"/>
    <mergeCell ref="Z14:AC14"/>
    <mergeCell ref="F15:G15"/>
    <mergeCell ref="H15:K15"/>
    <mergeCell ref="L15:M15"/>
    <mergeCell ref="N15:Q15"/>
    <mergeCell ref="R15:S15"/>
    <mergeCell ref="T15:W15"/>
    <mergeCell ref="X15:Y15"/>
    <mergeCell ref="Z15:AC15"/>
    <mergeCell ref="F14:G14"/>
    <mergeCell ref="H14:K14"/>
    <mergeCell ref="L14:M14"/>
    <mergeCell ref="N14:Q14"/>
    <mergeCell ref="R14:S14"/>
    <mergeCell ref="T14:W14"/>
    <mergeCell ref="X16:Y16"/>
    <mergeCell ref="Z16:AC16"/>
    <mergeCell ref="F17:G17"/>
    <mergeCell ref="H17:K17"/>
    <mergeCell ref="L17:M17"/>
    <mergeCell ref="N17:Q17"/>
    <mergeCell ref="R17:S17"/>
    <mergeCell ref="T17:W17"/>
    <mergeCell ref="X17:Y17"/>
    <mergeCell ref="Z17:AC17"/>
    <mergeCell ref="F16:G16"/>
    <mergeCell ref="H16:K16"/>
    <mergeCell ref="L16:M16"/>
    <mergeCell ref="N16:Q16"/>
    <mergeCell ref="R16:S16"/>
    <mergeCell ref="T16:W16"/>
    <mergeCell ref="X18:Y18"/>
    <mergeCell ref="Z18:AC18"/>
    <mergeCell ref="F19:G19"/>
    <mergeCell ref="H19:K19"/>
    <mergeCell ref="L19:M19"/>
    <mergeCell ref="N19:Q19"/>
    <mergeCell ref="R19:S19"/>
    <mergeCell ref="T19:W19"/>
    <mergeCell ref="X19:Y19"/>
    <mergeCell ref="Z19:AC19"/>
    <mergeCell ref="F18:G18"/>
    <mergeCell ref="H18:K18"/>
    <mergeCell ref="L18:M18"/>
    <mergeCell ref="N18:Q18"/>
    <mergeCell ref="R18:S18"/>
    <mergeCell ref="T18:W18"/>
    <mergeCell ref="X20:Y20"/>
    <mergeCell ref="Z20:AC20"/>
    <mergeCell ref="X21:Y21"/>
    <mergeCell ref="Z21:AC21"/>
    <mergeCell ref="X22:Y22"/>
    <mergeCell ref="Z22:AC22"/>
    <mergeCell ref="F20:G20"/>
    <mergeCell ref="H20:K20"/>
    <mergeCell ref="L20:M20"/>
    <mergeCell ref="N20:Q20"/>
    <mergeCell ref="R20:S20"/>
    <mergeCell ref="T20:W20"/>
    <mergeCell ref="AE24:AI24"/>
    <mergeCell ref="AE26:AI26"/>
    <mergeCell ref="A28:B39"/>
    <mergeCell ref="D30:H30"/>
    <mergeCell ref="I30:K30"/>
    <mergeCell ref="L30:M30"/>
    <mergeCell ref="N30:P30"/>
    <mergeCell ref="Q30:U30"/>
    <mergeCell ref="Z30:AB30"/>
    <mergeCell ref="AE30:AI30"/>
    <mergeCell ref="A3:B27"/>
    <mergeCell ref="AE4:AI4"/>
    <mergeCell ref="AE6:AI6"/>
    <mergeCell ref="AD31:AL31"/>
    <mergeCell ref="F32:T32"/>
    <mergeCell ref="U32:W32"/>
    <mergeCell ref="X32:AC32"/>
    <mergeCell ref="F33:J33"/>
    <mergeCell ref="K33:L33"/>
    <mergeCell ref="M33:Q33"/>
    <mergeCell ref="R33:T33"/>
    <mergeCell ref="U33:V33"/>
    <mergeCell ref="X33:AC33"/>
    <mergeCell ref="F35:J35"/>
    <mergeCell ref="K35:L35"/>
    <mergeCell ref="M35:Q35"/>
    <mergeCell ref="R35:T35"/>
    <mergeCell ref="U35:V35"/>
    <mergeCell ref="Y35:AB35"/>
    <mergeCell ref="F34:J34"/>
    <mergeCell ref="K34:L34"/>
    <mergeCell ref="M34:Q34"/>
    <mergeCell ref="R34:T34"/>
    <mergeCell ref="U34:V34"/>
    <mergeCell ref="Y34:AB34"/>
    <mergeCell ref="M37:Q37"/>
    <mergeCell ref="R37:T37"/>
    <mergeCell ref="U37:V37"/>
    <mergeCell ref="Y37:AB37"/>
    <mergeCell ref="F36:J36"/>
    <mergeCell ref="K36:L36"/>
    <mergeCell ref="M36:Q36"/>
    <mergeCell ref="R36:T36"/>
    <mergeCell ref="U36:V36"/>
    <mergeCell ref="Y36:AB36"/>
    <mergeCell ref="AE51:AI51"/>
    <mergeCell ref="P1:Y1"/>
    <mergeCell ref="AE42:AI42"/>
    <mergeCell ref="AD43:AL43"/>
    <mergeCell ref="A45:B49"/>
    <mergeCell ref="D47:H47"/>
    <mergeCell ref="I47:K47"/>
    <mergeCell ref="L47:M47"/>
    <mergeCell ref="N47:P47"/>
    <mergeCell ref="R47:S47"/>
    <mergeCell ref="AE47:AI47"/>
    <mergeCell ref="AD48:AL48"/>
    <mergeCell ref="F38:J38"/>
    <mergeCell ref="K38:L38"/>
    <mergeCell ref="U38:V38"/>
    <mergeCell ref="Y38:AB38"/>
    <mergeCell ref="A40:B44"/>
    <mergeCell ref="D42:H42"/>
    <mergeCell ref="I42:K42"/>
    <mergeCell ref="L42:M42"/>
    <mergeCell ref="N42:P42"/>
    <mergeCell ref="R42:S42"/>
    <mergeCell ref="F37:J37"/>
    <mergeCell ref="K37:L37"/>
  </mergeCells>
  <phoneticPr fontId="4"/>
  <hyperlinks>
    <hyperlink ref="P1:Y1" location="簡易試算シート!B99" display="簡易試算シートに戻る"/>
  </hyperlinks>
  <pageMargins left="0.7" right="0.7" top="0.75" bottom="0.75" header="0.3" footer="0.3"/>
  <pageSetup paperSize="9" orientation="portrait" copies="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簡易試算シート</vt:lpstr>
      <vt:lpstr>調整額の簡易確認表</vt:lpstr>
      <vt:lpstr>支給率</vt:lpstr>
      <vt:lpstr>除算期間</vt:lpstr>
      <vt:lpstr>ピーク時特例</vt:lpstr>
      <vt:lpstr>調整額適用表シート</vt:lpstr>
      <vt:lpstr>税額計算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新吾</dc:creator>
  <cp:lastModifiedBy>丹治 由美子</cp:lastModifiedBy>
  <cp:lastPrinted>2025-07-18T06:54:14Z</cp:lastPrinted>
  <dcterms:created xsi:type="dcterms:W3CDTF">2015-06-05T18:19:34Z</dcterms:created>
  <dcterms:modified xsi:type="dcterms:W3CDTF">2025-07-25T08:27:44Z</dcterms:modified>
</cp:coreProperties>
</file>