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11.34\04shisetsu\Ａ庁舎企画\◆委託・工事・修繕・役務◆\◆工事\R07工事\03_入札・契約\25-01135-0008東分庁舎屋上防水等改修工事\02_公告\"/>
    </mc:Choice>
  </mc:AlternateContent>
  <workbookProtection workbookPassword="B050" lockStructure="1"/>
  <bookViews>
    <workbookView xWindow="0" yWindow="0" windowWidth="23040" windowHeight="9096" tabRatio="763"/>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9" i="2" l="1"/>
  <c r="AC68" i="2"/>
  <c r="W68" i="2"/>
  <c r="V68" i="2"/>
  <c r="AC67" i="2"/>
  <c r="W67" i="2"/>
  <c r="V67" i="2"/>
  <c r="Y67" i="2" l="1"/>
  <c r="AE68" i="2" s="1"/>
  <c r="X100" i="2"/>
  <c r="X101" i="2" s="1"/>
  <c r="V100" i="2"/>
  <c r="H16" i="5"/>
  <c r="AE67" i="2" l="1"/>
  <c r="AP67" i="2" s="1"/>
  <c r="X80" i="2"/>
  <c r="AE61" i="2"/>
  <c r="AF61" i="2" s="1"/>
  <c r="AG100" i="2"/>
  <c r="AE59" i="2"/>
  <c r="AF59" i="2" s="1"/>
  <c r="AH100" i="2"/>
  <c r="AI100" i="2"/>
  <c r="AS102" i="2" l="1"/>
  <c r="V101" i="2"/>
  <c r="X102" i="2" l="1"/>
  <c r="S1" i="2" l="1"/>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X95" i="2" l="1"/>
  <c r="X94" i="2"/>
  <c r="Y95" i="2"/>
  <c r="Y94"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L17" i="2" s="1"/>
  <c r="H7" i="5"/>
  <c r="L13" i="2" s="1"/>
  <c r="H8" i="5"/>
  <c r="L14" i="2" s="1"/>
  <c r="H9" i="5"/>
  <c r="L16" i="2" s="1"/>
  <c r="H14" i="5"/>
  <c r="H6" i="5"/>
  <c r="L11" i="2" s="1"/>
  <c r="H11" i="5"/>
  <c r="H5" i="5"/>
  <c r="E50" i="2" l="1"/>
  <c r="E77" i="2" s="1"/>
  <c r="L10" i="2"/>
  <c r="K11" i="2"/>
  <c r="Y92" i="2"/>
  <c r="AF100" i="2" l="1"/>
  <c r="AP100" i="2" s="1"/>
  <c r="AF98" i="2"/>
  <c r="AF99" i="2" s="1"/>
  <c r="AF96" i="2"/>
  <c r="AF97" i="2" s="1"/>
  <c r="AF93" i="2"/>
  <c r="AF92" i="2"/>
  <c r="AF91" i="2"/>
  <c r="AF95" i="2" l="1"/>
  <c r="AF94" i="2"/>
  <c r="AF101" i="2"/>
  <c r="AP101" i="2" s="1"/>
  <c r="AF102" i="2"/>
  <c r="AP102" i="2" s="1"/>
  <c r="V52" i="2"/>
  <c r="AC56" i="2" l="1"/>
  <c r="AC54" i="2"/>
  <c r="AC53" i="2"/>
  <c r="AC52" i="2"/>
  <c r="V91" i="2" l="1"/>
  <c r="AQ91" i="2" s="1"/>
  <c r="X91" i="2"/>
  <c r="Y91" i="2"/>
  <c r="Z91" i="2"/>
  <c r="AB91" i="2"/>
  <c r="AE91" i="2" s="1"/>
  <c r="V92" i="2"/>
  <c r="Z92" i="2"/>
  <c r="AB92" i="2"/>
  <c r="AE92" i="2" s="1"/>
  <c r="Z93" i="2"/>
  <c r="AB93" i="2"/>
  <c r="V94" i="2"/>
  <c r="V95" i="2"/>
  <c r="V96" i="2"/>
  <c r="X96" i="2"/>
  <c r="X97" i="2" s="1"/>
  <c r="Y96" i="2"/>
  <c r="Y97" i="2" s="1"/>
  <c r="Z96" i="2"/>
  <c r="Z97" i="2" s="1"/>
  <c r="AB96" i="2"/>
  <c r="V97" i="2"/>
  <c r="V98" i="2"/>
  <c r="X98" i="2"/>
  <c r="X99" i="2" s="1"/>
  <c r="Y98" i="2"/>
  <c r="Y99" i="2" s="1"/>
  <c r="Z98" i="2"/>
  <c r="Z99" i="2" s="1"/>
  <c r="AB98" i="2"/>
  <c r="V99" i="2"/>
  <c r="Y100" i="2"/>
  <c r="Z100" i="2"/>
  <c r="AB100" i="2"/>
  <c r="V102" i="2"/>
  <c r="AF83" i="2"/>
  <c r="AG83" i="2" s="1"/>
  <c r="AF84" i="2"/>
  <c r="X85" i="2"/>
  <c r="AF85" i="2"/>
  <c r="W86" i="2"/>
  <c r="X86" i="2"/>
  <c r="AF86" i="2"/>
  <c r="AE98" i="2" l="1"/>
  <c r="AE99" i="2" s="1"/>
  <c r="AB99" i="2"/>
  <c r="AE93" i="2"/>
  <c r="AB94" i="2"/>
  <c r="AB95" i="2"/>
  <c r="AE96" i="2"/>
  <c r="AE97" i="2" s="1"/>
  <c r="AB97" i="2"/>
  <c r="Z95" i="2"/>
  <c r="Z94" i="2"/>
  <c r="Y102" i="2"/>
  <c r="Y101" i="2"/>
  <c r="AE100" i="2"/>
  <c r="AE101" i="2" s="1"/>
  <c r="AB101" i="2"/>
  <c r="Z102" i="2"/>
  <c r="Z101" i="2"/>
  <c r="W93" i="2"/>
  <c r="AB102" i="2"/>
  <c r="AE95" i="2" l="1"/>
  <c r="AE94" i="2"/>
  <c r="AE102" i="2"/>
  <c r="W96" i="2"/>
  <c r="W98" i="2" s="1"/>
  <c r="W100" i="2" s="1"/>
  <c r="V56" i="2" l="1"/>
  <c r="V53" i="2" l="1"/>
  <c r="V66" i="2" l="1"/>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A95" i="2" l="1"/>
  <c r="AA94" i="2"/>
  <c r="AC94" i="2"/>
  <c r="AC95"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D102" i="2"/>
  <c r="E52" i="2"/>
  <c r="E55" i="2"/>
  <c r="E63" i="2"/>
  <c r="E67" i="2"/>
  <c r="E92" i="2"/>
  <c r="E91" i="2"/>
  <c r="E96" i="2"/>
  <c r="E98" i="2"/>
  <c r="AK95" i="2" l="1"/>
  <c r="AM94" i="2"/>
  <c r="AK94" i="2"/>
  <c r="AL95" i="2"/>
  <c r="AO95" i="2" s="1"/>
  <c r="AN100" i="2"/>
  <c r="AL102" i="2"/>
  <c r="AK102" i="2"/>
  <c r="AN102" i="2" s="1"/>
  <c r="AM102" i="2"/>
  <c r="AO102" i="2" s="1"/>
  <c r="AL101" i="2"/>
  <c r="AM101" i="2"/>
  <c r="AO101" i="2" s="1"/>
  <c r="AN96" i="2"/>
  <c r="AO91" i="2"/>
  <c r="AT85" i="2"/>
  <c r="AT83" i="2"/>
  <c r="AT82" i="2"/>
  <c r="AQ88" i="2"/>
  <c r="F81" i="2" s="1"/>
  <c r="AN91" i="2"/>
  <c r="AS85" i="2"/>
  <c r="W88" i="2"/>
  <c r="AS84" i="2"/>
  <c r="AS83" i="2"/>
  <c r="K88" i="2"/>
  <c r="AN97" i="2"/>
  <c r="AO98" i="2"/>
  <c r="AN98"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AQ100" i="2" l="1"/>
  <c r="F93" i="2"/>
  <c r="F67" i="2"/>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<sst xmlns="http://schemas.openxmlformats.org/spreadsheetml/2006/main" count="717" uniqueCount="403">
  <si>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</si>
  <si>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</si>
  <si>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</si>
  <si>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</si>
  <si>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</si>
  <si>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</si>
  <si>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</si>
  <si>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</si>
  <si>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</si>
  <si>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</si>
  <si>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</si>
  <si>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</si>
  <si>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</si>
  <si>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</si>
  <si>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</si>
  <si>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</si>
  <si>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</si>
  <si>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</si>
  <si>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</si>
  <si>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</si>
  <si>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</si>
  <si>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</si>
  <si>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</si>
  <si>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</si>
  <si>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</si>
  <si>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</si>
  <si>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</si>
  <si>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</si>
  <si>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</si>
  <si>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</si>
  <si>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</si>
  <si>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</si>
  <si>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</si>
  <si>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</si>
  <si>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</si>
  <si>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</si>
  <si>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</si>
  <si>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</si>
  <si>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</si>
  <si>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</si>
  <si>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</si>
  <si>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</si>
  <si>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</si>
  <si>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</si>
  <si>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</si>
  <si>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</si>
  <si>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</si>
  <si>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</si>
  <si>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</si>
  <si>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</si>
  <si>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</si>
  <si>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</si>
  <si>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</si>
  <si>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</si>
  <si>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</si>
  <si>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</si>
  <si>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</si>
  <si>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</si>
  <si>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</si>
  <si>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</si>
  <si>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</si>
  <si>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</si>
  <si>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</si>
  <si>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</si>
  <si>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</si>
  <si>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</si>
  <si>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</si>
  <si>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</si>
  <si>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</si>
  <si>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</si>
  <si>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</si>
  <si>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</si>
  <si>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</si>
  <si>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</si>
  <si>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</si>
  <si>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</si>
  <si>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</si>
  <si>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</si>
  <si>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</si>
  <si>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</si>
  <si>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</si>
  <si>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</si>
  <si>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</si>
  <si>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</si>
  <si>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</si>
  <si>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</si>
  <si>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</si>
  <si>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</si>
  <si>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</si>
  <si>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</si>
  <si>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</si>
  <si>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</si>
  <si>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</si>
  <si>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</si>
  <si>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</si>
  <si>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</si>
  <si>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</si>
  <si>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</si>
  <si>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</si>
  <si>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</si>
  <si>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</si>
  <si>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</si>
  <si>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</si>
  <si>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</si>
  <si>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</si>
  <si>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</si>
  <si>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</si>
  <si>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</si>
  <si>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</si>
  <si>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</si>
  <si>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</si>
  <si>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</si>
  <si>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</si>
  <si>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</si>
  <si>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</si>
  <si>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</si>
  <si>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</si>
  <si>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</si>
  <si>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</si>
  <si>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</si>
  <si>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</si>
  <si>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</si>
  <si>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</si>
  <si>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</si>
  <si>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</si>
  <si>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</si>
  <si>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</si>
  <si>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</si>
  <si>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</si>
  <si>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</si>
  <si>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</si>
  <si>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</si>
  <si>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</si>
  <si>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</si>
  <si>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</si>
  <si>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</si>
  <si>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</si>
  <si>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</si>
  <si>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</si>
  <si>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</si>
  <si>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</si>
  <si>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</si>
  <si>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</si>
  <si>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</si>
  <si>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</si>
  <si>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</si>
  <si>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</si>
  <si>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</si>
  <si>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</si>
  <si>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</si>
  <si>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</si>
  <si>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</si>
  <si>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</si>
  <si>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</si>
  <si>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</si>
  <si>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</si>
  <si>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</si>
  <si>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</si>
  <si>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</si>
  <si>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</si>
  <si>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</si>
  <si>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</si>
  <si>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</si>
  <si>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</si>
  <si>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</si>
  <si>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</si>
  <si>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</si>
  <si>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</si>
  <si>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</si>
  <si>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</si>
  <si>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</si>
  <si>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</si>
  <si>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</si>
  <si>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</si>
  <si>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</si>
  <si>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</si>
  <si>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</si>
  <si>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</si>
  <si>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</si>
  <si>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</si>
  <si>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</si>
  <si>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</si>
  <si>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</si>
  <si>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</si>
  <si>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</si>
  <si>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</si>
  <si>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</si>
  <si>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</si>
  <si>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</si>
  <si>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</si>
  <si>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</si>
  <si>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</si>
  <si>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</si>
  <si>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</si>
  <si>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</si>
  <si>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</si>
  <si>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</si>
  <si>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</si>
  <si>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</si>
  <si>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</si>
  <si>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</si>
  <si>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</si>
  <si>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</si>
  <si>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</si>
  <si>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</si>
  <si>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</si>
  <si>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</si>
  <si>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</si>
  <si>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</si>
  <si>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</si>
  <si>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</si>
  <si>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</si>
  <si>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</si>
  <si>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</si>
  <si>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</si>
  <si>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</si>
  <si>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</si>
  <si>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</si>
  <si>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</si>
  <si>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</si>
  <si>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</si>
  <si>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</si>
  <si>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</si>
  <si>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</si>
  <si>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</si>
  <si>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</si>
  <si>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</si>
  <si>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</si>
  <si>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</si>
  <si>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</si>
  <si>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</si>
  <si>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</si>
  <si>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</si>
  <si>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</si>
  <si>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</si>
  <si>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</si>
  <si>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</si>
  <si>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</si>
  <si>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</si>
  <si>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</si>
  <si>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</si>
  <si>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</si>
  <si>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</si>
  <si>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</si>
  <si>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</si>
  <si>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</si>
  <si>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</si>
  <si>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</si>
  <si>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</si>
  <si>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</si>
  <si>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</si>
  <si>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</si>
  <si>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</si>
  <si>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</si>
  <si>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</si>
  <si>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</si>
  <si>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</si>
  <si>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</si>
  <si>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</si>
  <si>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</si>
  <si>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</si>
  <si>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</si>
  <si>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</si>
  <si>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</si>
  <si>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</si>
  <si>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</si>
  <si>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</si>
  <si>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</si>
  <si>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</si>
  <si>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</si>
  <si>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</si>
  <si>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</si>
  <si>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</si>
  <si>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</si>
  <si>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</si>
  <si>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</si>
  <si>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</si>
  <si>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</si>
  <si>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</si>
  <si>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</si>
  <si>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</si>
  <si>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</si>
  <si>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</si>
  <si>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</si>
  <si>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</si>
  <si>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</si>
  <si>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</si>
  <si>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</si>
  <si>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</si>
  <si>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</si>
  <si>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</si>
  <si>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</si>
  <si>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</si>
  <si>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</si>
  <si>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</si>
  <si>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</si>
  <si>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</si>
  <si>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</si>
  <si>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</si>
  <si>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</si>
  <si>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</si>
  <si>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</si>
  <si>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</si>
  <si>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</si>
  <si>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</si>
  <si>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</si>
  <si>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</si>
  <si>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</si>
  <si>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</si>
  <si>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</si>
  <si>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</si>
  <si>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</si>
  <si>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</si>
  <si>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</si>
  <si>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</si>
  <si>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</si>
  <si>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</si>
  <si>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</si>
  <si>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</si>
  <si>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</si>
  <si>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</si>
  <si>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</si>
  <si>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</si>
  <si>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</si>
  <si>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</si>
  <si>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</si>
  <si>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</si>
  <si>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</si>
  <si>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</si>
  <si>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</si>
  <si>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</si>
  <si>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</si>
  <si>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</si>
  <si>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</si>
  <si>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</si>
  <si>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</si>
  <si>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</si>
  <si>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</si>
  <si>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</si>
  <si>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</si>
  <si>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</si>
  <si>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</si>
  <si>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</si>
  <si>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</si>
  <si>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</si>
  <si>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</si>
  <si>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</si>
  <si>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</si>
  <si>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</si>
  <si>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</si>
  <si>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</si>
  <si>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</si>
  <si>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</si>
  <si>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</si>
  <si>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</si>
  <si>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</si>
  <si>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</si>
  <si>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</si>
  <si>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</si>
  <si>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</si>
  <si>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</si>
  <si>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</si>
  <si>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</si>
  <si>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</si>
  <si>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</si>
  <si>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</si>
  <si>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</si>
  <si>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</si>
  <si>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</si>
  <si>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</si>
  <si>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</si>
  <si>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</si>
  <si>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</si>
  <si>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</si>
  <si>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</si>
  <si>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</si>
  <si>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</si>
  <si>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</si>
  <si>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</si>
  <si>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</si>
  <si>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</si>
  <si>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</si>
  <si>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</si>
  <si>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</si>
  <si>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</si>
  <si>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</si>
  <si>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</si>
  <si>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</si>
  <si>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</si>
  <si>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</si>
  <si>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</si>
  <si>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</si>
  <si>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</si>
  <si>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</si>
  <si>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</si>
  <si>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</si>
  <si>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</si>
  <si>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</si>
  <si>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r>
      <t xml:space="preserve">工事概要
</t>
    </r>
    <r>
      <rPr>
        <sz val="9"/>
        <color rgb="FF000000"/>
        <rFont val="ＭＳ 明朝"/>
        <family val="1"/>
        <charset val="128"/>
      </rPr>
      <t>（同種･類似工事と判断可能な工種、数量等）</t>
    </r>
    <phoneticPr fontId="35"/>
  </si>
  <si>
    <t>工事成績
[選択]</t>
    <phoneticPr fontId="35"/>
  </si>
  <si>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</si>
  <si>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 xml:space="preserve">第25-01135-0008号 </t>
    <rPh sb="0" eb="1">
      <t>ダイ</t>
    </rPh>
    <rPh sb="14" eb="15">
      <t>ゴウ</t>
    </rPh>
    <phoneticPr fontId="35"/>
  </si>
  <si>
    <t>東分庁舎屋上防水等改修工事</t>
    <rPh sb="0" eb="13">
      <t>ヒガシブンチョウシャオクジョウボウスイトウカイシュウコウジ</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</si>
</sst>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8"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
      <sz val="10"/>
      <color rgb="FF000000"/>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8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0" fillId="0" borderId="10" xfId="0" applyBorder="1">
      <alignment vertical="center"/>
    </xf>
    <xf numFmtId="0" fontId="0" fillId="0" borderId="0" xfId="0">
      <alignment vertical="center"/>
    </xf>
    <xf numFmtId="182" fontId="19" fillId="0" borderId="10" xfId="0" applyNumberFormat="1" applyFont="1" applyBorder="1" applyAlignment="1">
      <alignment horizontal="left" vertical="center"/>
    </xf>
    <xf numFmtId="0" fontId="19" fillId="0" borderId="10" xfId="0" applyFont="1" applyBorder="1" applyAlignment="1">
      <alignment horizontal="center" vertical="center"/>
    </xf>
    <xf numFmtId="0" fontId="29" fillId="0" borderId="6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9" xfId="0" applyFont="1" applyBorder="1" applyAlignment="1">
      <alignment horizontal="center" vertical="center" wrapText="1"/>
    </xf>
    <xf numFmtId="0" fontId="26" fillId="0" borderId="54" xfId="0" quotePrefix="1" applyFont="1" applyBorder="1" applyAlignment="1">
      <alignment horizontal="center" vertical="center" wrapText="1"/>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2" fillId="0" borderId="10" xfId="0" applyNumberFormat="1" applyFont="1" applyBorder="1" applyAlignment="1">
      <alignment horizontal="right" vertical="center" wrapText="1"/>
    </xf>
    <xf numFmtId="0" fontId="28" fillId="0" borderId="31" xfId="0" applyFont="1" applyBorder="1" applyAlignment="1">
      <alignment vertical="center" wrapText="1"/>
    </xf>
    <xf numFmtId="0" fontId="28" fillId="0" borderId="21" xfId="0" applyFont="1" applyBorder="1" applyAlignment="1">
      <alignment horizontal="left" vertical="center" wrapText="1"/>
    </xf>
    <xf numFmtId="0" fontId="34" fillId="0" borderId="0" xfId="0" applyFont="1" applyAlignment="1">
      <alignment horizontal="left" vertical="center"/>
    </xf>
    <xf numFmtId="0" fontId="19" fillId="0" borderId="18" xfId="0" applyFont="1" applyBorder="1" applyAlignment="1">
      <alignment horizontal="left" vertical="center"/>
    </xf>
    <xf numFmtId="0" fontId="0" fillId="0" borderId="25" xfId="0" applyBorder="1">
      <alignment vertical="center"/>
    </xf>
    <xf numFmtId="0" fontId="19" fillId="0" borderId="10" xfId="0" applyFont="1" applyBorder="1" applyAlignment="1">
      <alignment horizontal="left" vertical="center"/>
    </xf>
    <xf numFmtId="0" fontId="19" fillId="0" borderId="19" xfId="0" applyFont="1" applyBorder="1" applyAlignment="1">
      <alignment horizontal="left" vertical="center"/>
    </xf>
    <xf numFmtId="179" fontId="19" fillId="0" borderId="10" xfId="0" applyNumberFormat="1" applyFont="1" applyBorder="1" applyAlignment="1">
      <alignment horizontal="center" vertical="center"/>
    </xf>
    <xf numFmtId="177" fontId="19" fillId="0" borderId="10" xfId="0" applyNumberFormat="1" applyFont="1" applyBorder="1">
      <alignment vertical="center"/>
    </xf>
    <xf numFmtId="0" fontId="26" fillId="0" borderId="30" xfId="0" applyFont="1" applyBorder="1" applyAlignment="1">
      <alignment horizontal="center" vertical="center" wrapText="1"/>
    </xf>
    <xf numFmtId="0" fontId="26" fillId="0" borderId="69" xfId="0" applyFont="1" applyBorder="1" applyAlignment="1">
      <alignment horizontal="center" vertical="center" wrapText="1"/>
    </xf>
    <xf numFmtId="176" fontId="26" fillId="0" borderId="10" xfId="0" applyNumberFormat="1" applyFont="1" applyBorder="1" applyAlignment="1">
      <alignment horizontal="center" vertical="center" wrapText="1"/>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21" fillId="0" borderId="0" xfId="0" applyFont="1" applyAlignment="1">
      <alignment horizontal="justify" vertical="center"/>
    </xf>
    <xf numFmtId="0" fontId="21" fillId="0" borderId="23" xfId="0" applyFont="1" applyBorder="1" applyAlignment="1">
      <alignment horizontal="right" vertical="center" wrapText="1"/>
    </xf>
    <xf numFmtId="0" fontId="28" fillId="0" borderId="23" xfId="0" applyFont="1" applyBorder="1">
      <alignment vertical="center"/>
    </xf>
    <xf numFmtId="0" fontId="40" fillId="0" borderId="10" xfId="0" applyFont="1" applyBorder="1" applyAlignment="1">
      <alignment horizontal="center" vertical="center" wrapText="1"/>
    </xf>
    <xf numFmtId="0" fontId="39"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23" fillId="0" borderId="50" xfId="0" applyFont="1" applyBorder="1" applyAlignment="1">
      <alignment horizontal="center" wrapText="1" shrinkToFit="1"/>
    </xf>
    <xf numFmtId="0" fontId="19" fillId="0" borderId="55" xfId="0" applyFont="1" applyBorder="1">
      <alignment vertical="center"/>
    </xf>
    <xf numFmtId="0" fontId="19" fillId="0" borderId="12" xfId="0" applyFont="1" applyBorder="1">
      <alignment vertical="center"/>
    </xf>
    <xf numFmtId="0" fontId="40" fillId="0" borderId="11" xfId="0" applyFont="1" applyBorder="1" applyAlignment="1">
      <alignment horizontal="left" vertical="top" wrapText="1"/>
    </xf>
    <xf numFmtId="0" fontId="42" fillId="0" borderId="10" xfId="0" applyFont="1" applyBorder="1" applyAlignment="1">
      <alignment horizontal="center" vertical="center" wrapText="1"/>
    </xf>
    <xf numFmtId="177" fontId="42" fillId="0" borderId="10" xfId="0" applyNumberFormat="1" applyFont="1" applyBorder="1" applyAlignment="1">
      <alignment horizontal="right" vertical="center" wrapText="1"/>
    </xf>
    <xf numFmtId="0" fontId="40" fillId="0" borderId="0" xfId="0" applyFont="1" applyAlignment="1">
      <alignment horizontal="left" vertical="top" wrapText="1"/>
    </xf>
    <xf numFmtId="0" fontId="19" fillId="0" borderId="14" xfId="0" applyFont="1" applyBorder="1">
      <alignment vertical="center"/>
    </xf>
    <xf numFmtId="177" fontId="42" fillId="0" borderId="0" xfId="0" applyNumberFormat="1" applyFont="1" applyAlignment="1">
      <alignment horizontal="right" vertical="center" wrapText="1"/>
    </xf>
    <xf numFmtId="0" fontId="19" fillId="0" borderId="17" xfId="0" applyFont="1" applyBorder="1">
      <alignment vertical="center"/>
    </xf>
    <xf numFmtId="0" fontId="26" fillId="0" borderId="71"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2" fillId="0" borderId="0" xfId="0" applyFont="1" applyAlignment="1">
      <alignment horizontal="center" vertical="center" wrapText="1"/>
    </xf>
    <xf numFmtId="177" fontId="19" fillId="0" borderId="0" xfId="0" applyNumberFormat="1" applyFont="1">
      <alignment vertical="center"/>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23" fillId="0" borderId="71" xfId="0" applyFont="1" applyBorder="1" applyAlignment="1">
      <alignment horizontal="center" vertical="center" wrapText="1"/>
    </xf>
    <xf numFmtId="0" fontId="41" fillId="0" borderId="0" xfId="0" applyFont="1">
      <alignment vertical="center"/>
    </xf>
    <xf numFmtId="181" fontId="19" fillId="0" borderId="23" xfId="0" applyNumberFormat="1" applyFont="1" applyBorder="1">
      <alignment vertical="center"/>
    </xf>
    <xf numFmtId="181" fontId="43" fillId="0" borderId="23" xfId="0" applyNumberFormat="1" applyFont="1" applyBorder="1" applyAlignment="1">
      <alignment horizontal="right" vertical="center" wrapText="1"/>
    </xf>
    <xf numFmtId="0" fontId="42" fillId="0" borderId="0" xfId="0" applyFont="1" applyAlignment="1">
      <alignment vertical="center" wrapText="1"/>
    </xf>
    <xf numFmtId="181" fontId="19" fillId="0" borderId="77" xfId="0" applyNumberFormat="1" applyFont="1" applyBorder="1">
      <alignment vertical="center"/>
    </xf>
    <xf numFmtId="181" fontId="43" fillId="0" borderId="51"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2" xfId="0" applyNumberFormat="1" applyFont="1" applyBorder="1">
      <alignment vertical="center"/>
    </xf>
    <xf numFmtId="181" fontId="43"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3" fillId="0" borderId="0" xfId="0" applyFont="1">
      <alignment vertical="center"/>
    </xf>
    <xf numFmtId="0" fontId="0" fillId="0" borderId="12" xfId="0" applyBorder="1">
      <alignment vertical="center"/>
    </xf>
    <xf numFmtId="0" fontId="40"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7" xfId="0" applyFont="1" applyBorder="1">
      <alignment vertical="center"/>
    </xf>
    <xf numFmtId="180" fontId="0" fillId="0" borderId="0" xfId="0" applyNumberFormat="1">
      <alignment vertical="center"/>
    </xf>
    <xf numFmtId="0" fontId="40" fillId="0" borderId="0" xfId="0" applyFont="1" applyAlignment="1">
      <alignment vertical="center" wrapText="1"/>
    </xf>
    <xf numFmtId="0" fontId="19" fillId="0" borderId="26" xfId="0" applyFont="1" applyBorder="1">
      <alignment vertical="center"/>
    </xf>
    <xf numFmtId="180" fontId="42" fillId="0" borderId="25" xfId="0" applyNumberFormat="1" applyFont="1" applyBorder="1" applyAlignment="1">
      <alignment vertical="center" wrapText="1"/>
    </xf>
    <xf numFmtId="180" fontId="43"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2" fillId="0" borderId="0" xfId="0" applyNumberFormat="1" applyFont="1" applyAlignment="1">
      <alignment vertical="center" wrapText="1"/>
    </xf>
    <xf numFmtId="180" fontId="42" fillId="0" borderId="23" xfId="0" applyNumberFormat="1" applyFont="1" applyBorder="1" applyAlignment="1">
      <alignment vertical="center" wrapText="1"/>
    </xf>
    <xf numFmtId="180" fontId="43" fillId="0" borderId="23" xfId="0" applyNumberFormat="1" applyFont="1" applyBorder="1" applyAlignment="1">
      <alignment horizontal="right" vertical="center" wrapText="1"/>
    </xf>
    <xf numFmtId="0" fontId="57"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6" fontId="23" fillId="0" borderId="10" xfId="0" applyNumberFormat="1" applyFont="1" applyBorder="1" applyAlignment="1">
      <alignment horizontal="center" vertical="center" wrapText="1"/>
    </xf>
    <xf numFmtId="0" fontId="36"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6"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6"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77" fontId="19" fillId="0" borderId="37" xfId="0" applyNumberFormat="1" applyFont="1" applyBorder="1" applyAlignment="1">
      <alignment horizontal="right" vertical="center" shrinkToFit="1"/>
    </xf>
    <xf numFmtId="180" fontId="36"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6"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6" fillId="0" borderId="20" xfId="0" applyNumberFormat="1" applyFont="1" applyBorder="1" applyAlignment="1">
      <alignment vertical="center" wrapText="1"/>
    </xf>
    <xf numFmtId="0" fontId="23" fillId="0" borderId="0" xfId="0" applyFont="1" applyAlignment="1">
      <alignment vertical="center" wrapText="1"/>
    </xf>
    <xf numFmtId="0" fontId="19" fillId="0" borderId="10" xfId="0" applyFont="1" applyBorder="1" applyAlignment="1">
      <alignment horizontal="center" vertical="center" wrapText="1"/>
    </xf>
    <xf numFmtId="0" fontId="19" fillId="0" borderId="23" xfId="0" applyFont="1" applyBorder="1" applyAlignment="1">
      <alignment horizontal="center" vertical="center"/>
    </xf>
    <xf numFmtId="0" fontId="19" fillId="0" borderId="10" xfId="0" applyFont="1" applyBorder="1" applyAlignment="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lignment horizontal="center" vertical="center"/>
    </xf>
    <xf numFmtId="0" fontId="36" fillId="0" borderId="10" xfId="0" applyFont="1" applyBorder="1" applyAlignment="1">
      <alignment horizontal="left" vertical="center" wrapText="1"/>
    </xf>
    <xf numFmtId="0" fontId="19" fillId="0" borderId="0" xfId="0" applyFont="1" applyAlignment="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lignment vertical="center"/>
    </xf>
    <xf numFmtId="0" fontId="19" fillId="37" borderId="0" xfId="0" applyFont="1" applyFill="1">
      <alignment vertical="center"/>
    </xf>
    <xf numFmtId="0" fontId="34" fillId="0" borderId="0" xfId="0" applyFont="1">
      <alignment vertical="center"/>
    </xf>
    <xf numFmtId="0" fontId="61" fillId="0" borderId="0" xfId="0" applyFont="1" applyAlignment="1">
      <alignment horizontal="left" vertical="center"/>
    </xf>
    <xf numFmtId="0" fontId="50" fillId="0" borderId="18" xfId="0" applyFont="1" applyBorder="1" applyAlignment="1">
      <alignment horizontal="left" vertical="center"/>
    </xf>
    <xf numFmtId="0" fontId="22" fillId="38" borderId="46" xfId="0" applyFont="1" applyFill="1" applyBorder="1" applyAlignment="1">
      <alignment horizontal="center" vertical="center" wrapText="1"/>
    </xf>
    <xf numFmtId="177" fontId="42" fillId="38" borderId="45" xfId="0" applyNumberFormat="1" applyFont="1" applyFill="1" applyBorder="1" applyAlignment="1">
      <alignment horizontal="right" vertical="center" wrapText="1"/>
    </xf>
    <xf numFmtId="177" fontId="43" fillId="38" borderId="66" xfId="0" applyNumberFormat="1" applyFont="1" applyFill="1" applyBorder="1" applyAlignment="1">
      <alignment horizontal="right" vertical="center" wrapText="1"/>
    </xf>
    <xf numFmtId="0" fontId="43" fillId="38" borderId="45" xfId="0" applyFont="1" applyFill="1" applyBorder="1" applyAlignment="1">
      <alignment horizontal="right" vertical="center" wrapText="1"/>
    </xf>
    <xf numFmtId="176" fontId="43" fillId="38" borderId="45" xfId="0" applyNumberFormat="1" applyFont="1" applyFill="1" applyBorder="1" applyAlignment="1">
      <alignment horizontal="right" vertical="center" wrapText="1"/>
    </xf>
    <xf numFmtId="0" fontId="0" fillId="38" borderId="46" xfId="0" applyFill="1" applyBorder="1" applyAlignment="1">
      <alignment horizontal="center" vertical="center"/>
    </xf>
    <xf numFmtId="180" fontId="19" fillId="38" borderId="47" xfId="0" applyNumberFormat="1" applyFont="1" applyFill="1" applyBorder="1" applyAlignment="1">
      <alignment horizontal="right" vertical="center"/>
    </xf>
    <xf numFmtId="180" fontId="19" fillId="38" borderId="48" xfId="0" applyNumberFormat="1" applyFont="1" applyFill="1" applyBorder="1" applyAlignment="1">
      <alignment horizontal="right" vertical="center"/>
    </xf>
    <xf numFmtId="180" fontId="19" fillId="38" borderId="49" xfId="0" applyNumberFormat="1" applyFont="1" applyFill="1" applyBorder="1">
      <alignment vertical="center"/>
    </xf>
    <xf numFmtId="0" fontId="62" fillId="34" borderId="10" xfId="0" applyFont="1" applyFill="1" applyBorder="1" applyAlignment="1">
      <alignment horizontal="left" vertical="center"/>
    </xf>
    <xf numFmtId="0" fontId="19" fillId="0" borderId="20" xfId="0" applyFont="1" applyBorder="1" applyAlignment="1">
      <alignment horizontal="left"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19" fillId="0" borderId="20" xfId="0" applyFont="1" applyBorder="1" applyAlignment="1">
      <alignment horizontal="right" vertical="center"/>
    </xf>
    <xf numFmtId="177" fontId="23" fillId="0" borderId="18" xfId="0" applyNumberFormat="1" applyFont="1" applyBorder="1" applyAlignment="1">
      <alignment horizontal="center" vertical="center" wrapText="1"/>
    </xf>
    <xf numFmtId="0" fontId="56" fillId="0" borderId="0" xfId="0" applyFont="1">
      <alignment vertical="center"/>
    </xf>
    <xf numFmtId="0" fontId="39" fillId="0" borderId="0" xfId="0" applyFont="1" applyAlignment="1">
      <alignment horizontal="justify"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19" fillId="0" borderId="10" xfId="0" applyFont="1" applyBorder="1" applyAlignment="1">
      <alignment vertical="center" shrinkToFit="1"/>
    </xf>
    <xf numFmtId="0" fontId="58" fillId="0" borderId="10" xfId="0" applyFont="1" applyBorder="1" applyAlignment="1">
      <alignment horizontal="center" vertical="center" wrapText="1"/>
    </xf>
    <xf numFmtId="180" fontId="0" fillId="38"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36" fillId="0" borderId="42" xfId="0" applyNumberFormat="1" applyFont="1" applyBorder="1">
      <alignment vertical="center"/>
    </xf>
    <xf numFmtId="177" fontId="19" fillId="0" borderId="37" xfId="0" applyNumberFormat="1" applyFont="1" applyBorder="1">
      <alignment vertical="center"/>
    </xf>
    <xf numFmtId="177" fontId="36" fillId="0" borderId="78" xfId="0" applyNumberFormat="1" applyFont="1" applyBorder="1">
      <alignment vertical="center"/>
    </xf>
    <xf numFmtId="177" fontId="19" fillId="0" borderId="79" xfId="0" applyNumberFormat="1" applyFont="1" applyBorder="1">
      <alignment vertical="center"/>
    </xf>
    <xf numFmtId="177" fontId="36" fillId="0" borderId="80" xfId="0" applyNumberFormat="1" applyFont="1" applyBorder="1">
      <alignment vertical="center"/>
    </xf>
    <xf numFmtId="177" fontId="19" fillId="0" borderId="41" xfId="0" applyNumberFormat="1" applyFont="1" applyBorder="1">
      <alignment vertical="center"/>
    </xf>
    <xf numFmtId="177" fontId="36" fillId="0" borderId="81" xfId="0" applyNumberFormat="1" applyFont="1" applyBorder="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lignment horizontal="center" vertical="center" wrapText="1"/>
    </xf>
    <xf numFmtId="180" fontId="19" fillId="0" borderId="10" xfId="0" applyNumberFormat="1" applyFont="1" applyBorder="1">
      <alignment vertical="center"/>
    </xf>
    <xf numFmtId="177" fontId="43" fillId="38" borderId="45" xfId="0" applyNumberFormat="1" applyFont="1" applyFill="1" applyBorder="1" applyAlignment="1">
      <alignment horizontal="right" vertical="center" wrapText="1"/>
    </xf>
    <xf numFmtId="0" fontId="26" fillId="0" borderId="0" xfId="0" applyFont="1" applyAlignment="1">
      <alignment vertical="center" wrapText="1"/>
    </xf>
    <xf numFmtId="0" fontId="23" fillId="36" borderId="28" xfId="0" applyFont="1" applyFill="1" applyBorder="1" applyAlignment="1" applyProtection="1">
      <alignment horizontal="center" vertical="center" wrapText="1"/>
      <protection locked="0"/>
    </xf>
    <xf numFmtId="0" fontId="26" fillId="35" borderId="0" xfId="0" applyFont="1" applyFill="1" applyAlignment="1">
      <alignment vertical="center" wrapText="1"/>
    </xf>
    <xf numFmtId="2" fontId="19" fillId="0" borderId="46" xfId="0" applyNumberFormat="1" applyFont="1" applyBorder="1">
      <alignment vertical="center"/>
    </xf>
    <xf numFmtId="2" fontId="19" fillId="0" borderId="47" xfId="0" applyNumberFormat="1" applyFont="1" applyBorder="1">
      <alignment vertical="center"/>
    </xf>
    <xf numFmtId="0" fontId="19" fillId="0" borderId="13" xfId="0" applyFont="1" applyBorder="1">
      <alignment vertical="center"/>
    </xf>
    <xf numFmtId="176" fontId="23" fillId="0" borderId="83" xfId="0" applyNumberFormat="1" applyFont="1" applyBorder="1" applyAlignment="1">
      <alignment horizontal="center" vertical="center" wrapText="1"/>
    </xf>
    <xf numFmtId="0" fontId="26" fillId="0" borderId="47" xfId="0" applyFont="1" applyBorder="1" applyAlignment="1">
      <alignment horizontal="center" vertical="center" wrapText="1"/>
    </xf>
    <xf numFmtId="2" fontId="19" fillId="0" borderId="28" xfId="0" applyNumberFormat="1" applyFont="1" applyBorder="1">
      <alignment vertical="center"/>
    </xf>
    <xf numFmtId="0" fontId="31" fillId="0" borderId="0" xfId="0" applyFont="1" applyAlignment="1">
      <alignment horizontal="center" vertical="center"/>
    </xf>
    <xf numFmtId="0" fontId="19" fillId="0" borderId="18" xfId="0" applyFont="1" applyBorder="1" applyAlignment="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lignment vertical="center"/>
    </xf>
    <xf numFmtId="0" fontId="45" fillId="0" borderId="0" xfId="0" applyFont="1">
      <alignment vertical="center"/>
    </xf>
    <xf numFmtId="0" fontId="64" fillId="0" borderId="0" xfId="0" applyFont="1">
      <alignment vertical="center"/>
    </xf>
    <xf numFmtId="0" fontId="66" fillId="0" borderId="0" xfId="0" applyFont="1">
      <alignment vertical="center"/>
    </xf>
    <xf numFmtId="0" fontId="67" fillId="0" borderId="0" xfId="0" applyFont="1">
      <alignment vertical="center"/>
    </xf>
    <xf numFmtId="0" fontId="65" fillId="0" borderId="0" xfId="0" applyFont="1" applyAlignment="1">
      <alignment horizontal="right" vertical="center"/>
    </xf>
    <xf numFmtId="0" fontId="66" fillId="0" borderId="0" xfId="0" applyFont="1" applyAlignment="1">
      <alignment horizontal="justify" vertical="center"/>
    </xf>
    <xf numFmtId="0" fontId="66" fillId="0" borderId="0" xfId="0" applyFont="1" applyAlignment="1">
      <alignment horizontal="left" vertical="center"/>
    </xf>
    <xf numFmtId="0" fontId="66" fillId="0" borderId="0" xfId="0" applyFont="1" applyAlignment="1">
      <alignment vertical="center" shrinkToFit="1"/>
    </xf>
    <xf numFmtId="0" fontId="41" fillId="0" borderId="0" xfId="0" applyFont="1" applyAlignment="1">
      <alignment horizontal="right" vertical="center"/>
    </xf>
    <xf numFmtId="0" fontId="70" fillId="0" borderId="0" xfId="0" applyFont="1">
      <alignment vertical="center"/>
    </xf>
    <xf numFmtId="0" fontId="67" fillId="0" borderId="0" xfId="0" applyFont="1" applyAlignment="1">
      <alignment horizontal="left" vertical="center"/>
    </xf>
    <xf numFmtId="0" fontId="67" fillId="0" borderId="0" xfId="0" applyFont="1" applyAlignment="1">
      <alignment horizontal="right" vertical="top"/>
    </xf>
    <xf numFmtId="0" fontId="72" fillId="0" borderId="0" xfId="0" applyFont="1" applyAlignment="1">
      <alignment horizontal="left" vertical="top" wrapText="1"/>
    </xf>
    <xf numFmtId="0" fontId="67" fillId="0" borderId="0" xfId="0" applyFont="1" applyAlignment="1">
      <alignment horizontal="left" vertical="center" indent="2"/>
    </xf>
    <xf numFmtId="178" fontId="73" fillId="0" borderId="0" xfId="0" applyNumberFormat="1" applyFont="1" applyAlignment="1">
      <alignment horizontal="right" vertical="top"/>
    </xf>
    <xf numFmtId="0" fontId="19" fillId="0" borderId="22" xfId="0" applyFont="1" applyBorder="1" applyAlignment="1">
      <alignment horizontal="right" vertical="center" shrinkToFit="1"/>
    </xf>
    <xf numFmtId="0" fontId="19" fillId="0" borderId="79" xfId="0" applyFont="1" applyBorder="1">
      <alignment vertical="center"/>
    </xf>
    <xf numFmtId="0" fontId="19" fillId="0" borderId="79" xfId="0" applyFont="1" applyBorder="1" applyAlignment="1">
      <alignment horizontal="right" vertical="center"/>
    </xf>
    <xf numFmtId="0" fontId="36" fillId="0" borderId="79" xfId="0" applyFont="1" applyBorder="1" applyAlignment="1">
      <alignment vertical="center" wrapText="1"/>
    </xf>
    <xf numFmtId="0" fontId="19" fillId="0" borderId="89" xfId="0" applyFont="1" applyBorder="1" applyAlignment="1">
      <alignment horizontal="center" vertical="center" shrinkToFit="1"/>
    </xf>
    <xf numFmtId="0" fontId="19" fillId="0" borderId="90" xfId="0" applyFont="1" applyBorder="1" applyAlignment="1">
      <alignment horizontal="right" vertical="center" shrinkToFit="1"/>
    </xf>
    <xf numFmtId="0" fontId="19" fillId="0" borderId="91" xfId="0" applyFont="1" applyBorder="1" applyAlignment="1">
      <alignment horizontal="right" vertical="center" shrinkToFit="1"/>
    </xf>
    <xf numFmtId="180" fontId="36" fillId="0" borderId="18" xfId="0" applyNumberFormat="1" applyFont="1" applyBorder="1" applyAlignment="1">
      <alignment vertical="center" wrapText="1"/>
    </xf>
    <xf numFmtId="177" fontId="19" fillId="0" borderId="20" xfId="0" applyNumberFormat="1" applyFont="1" applyBorder="1" applyAlignment="1">
      <alignment horizontal="right" vertical="center" shrinkToFit="1"/>
    </xf>
    <xf numFmtId="177" fontId="19" fillId="0" borderId="79" xfId="0" applyNumberFormat="1" applyFont="1" applyBorder="1" applyAlignment="1">
      <alignment horizontal="right" vertical="center" shrinkToFit="1"/>
    </xf>
    <xf numFmtId="180" fontId="36" fillId="0" borderId="79" xfId="0" applyNumberFormat="1" applyFont="1" applyBorder="1" applyAlignment="1">
      <alignment vertical="center" wrapText="1"/>
    </xf>
    <xf numFmtId="180" fontId="36" fillId="0" borderId="41" xfId="0" applyNumberFormat="1" applyFont="1" applyBorder="1" applyAlignment="1">
      <alignment vertical="center" wrapText="1"/>
    </xf>
    <xf numFmtId="0" fontId="36" fillId="0" borderId="18" xfId="0" applyFont="1" applyBorder="1" applyAlignment="1">
      <alignment vertical="center" wrapText="1"/>
    </xf>
    <xf numFmtId="0" fontId="19" fillId="0" borderId="92" xfId="0" applyFont="1" applyBorder="1" applyAlignment="1">
      <alignment horizontal="center" vertical="center" shrinkToFit="1"/>
    </xf>
    <xf numFmtId="0" fontId="19" fillId="0" borderId="93"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20" xfId="0" applyNumberFormat="1" applyFont="1" applyBorder="1">
      <alignment vertical="center"/>
    </xf>
    <xf numFmtId="177" fontId="36" fillId="0" borderId="94" xfId="0" applyNumberFormat="1" applyFont="1" applyBorder="1">
      <alignment vertical="center"/>
    </xf>
    <xf numFmtId="0" fontId="29" fillId="0" borderId="16" xfId="0" applyFont="1" applyBorder="1" applyAlignment="1">
      <alignment wrapText="1"/>
    </xf>
    <xf numFmtId="0" fontId="0" fillId="0" borderId="0" xfId="0" applyAlignment="1">
      <alignment vertical="top"/>
    </xf>
    <xf numFmtId="0" fontId="19" fillId="0" borderId="0" xfId="0" applyFont="1" applyAlignment="1">
      <alignment vertical="top"/>
    </xf>
    <xf numFmtId="0" fontId="43" fillId="0" borderId="0" xfId="0" applyFont="1" applyAlignment="1">
      <alignment vertical="top"/>
    </xf>
    <xf numFmtId="177" fontId="19" fillId="0" borderId="0" xfId="0" applyNumberFormat="1" applyFont="1" applyAlignment="1">
      <alignment vertical="top"/>
    </xf>
    <xf numFmtId="176" fontId="43"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lignment vertical="center"/>
    </xf>
    <xf numFmtId="0" fontId="19" fillId="0" borderId="18" xfId="0" applyFont="1" applyBorder="1">
      <alignment vertical="center"/>
    </xf>
    <xf numFmtId="0" fontId="19" fillId="0" borderId="51" xfId="0" applyFont="1" applyBorder="1">
      <alignment vertical="center"/>
    </xf>
    <xf numFmtId="177" fontId="19" fillId="0" borderId="96" xfId="0" applyNumberFormat="1" applyFont="1" applyBorder="1" applyAlignment="1">
      <alignment horizontal="right" vertical="center" shrinkToFit="1"/>
    </xf>
    <xf numFmtId="177" fontId="19" fillId="0" borderId="97" xfId="0" applyNumberFormat="1" applyFont="1" applyBorder="1" applyAlignment="1">
      <alignment horizontal="right" vertical="center" shrinkToFit="1"/>
    </xf>
    <xf numFmtId="177" fontId="19" fillId="0" borderId="51" xfId="0" applyNumberFormat="1" applyFont="1" applyBorder="1" applyAlignment="1">
      <alignment horizontal="right" vertical="center" shrinkToFit="1"/>
    </xf>
    <xf numFmtId="177" fontId="19" fillId="0" borderId="98" xfId="0" applyNumberFormat="1" applyFont="1" applyBorder="1" applyAlignment="1">
      <alignment horizontal="right" vertical="center" shrinkToFit="1"/>
    </xf>
    <xf numFmtId="180" fontId="36" fillId="0" borderId="51" xfId="0" applyNumberFormat="1" applyFont="1" applyBorder="1" applyAlignment="1">
      <alignment vertical="center" wrapText="1"/>
    </xf>
    <xf numFmtId="0" fontId="19" fillId="0" borderId="13" xfId="0" applyFont="1" applyBorder="1" applyAlignment="1">
      <alignment horizontal="right" vertical="center"/>
    </xf>
    <xf numFmtId="0" fontId="19" fillId="0" borderId="99" xfId="0" applyFont="1" applyBorder="1" applyAlignment="1">
      <alignment horizontal="right" vertical="center"/>
    </xf>
    <xf numFmtId="0" fontId="19" fillId="0" borderId="100" xfId="0" applyFont="1" applyBorder="1" applyAlignment="1">
      <alignment horizontal="center" vertical="center"/>
    </xf>
    <xf numFmtId="0" fontId="19" fillId="0" borderId="17" xfId="0" applyFont="1" applyBorder="1" applyAlignment="1">
      <alignment horizontal="center" vertical="center"/>
    </xf>
    <xf numFmtId="0" fontId="19" fillId="0" borderId="101" xfId="0" applyFont="1" applyBorder="1">
      <alignment vertical="center"/>
    </xf>
    <xf numFmtId="0" fontId="19" fillId="0" borderId="77" xfId="0" applyFont="1" applyBorder="1">
      <alignment vertical="center"/>
    </xf>
    <xf numFmtId="0" fontId="19" fillId="0" borderId="91" xfId="0" applyFont="1" applyBorder="1">
      <alignment vertical="center"/>
    </xf>
    <xf numFmtId="0" fontId="19" fillId="0" borderId="95" xfId="0" applyFont="1" applyBorder="1">
      <alignment vertical="center"/>
    </xf>
    <xf numFmtId="0" fontId="19" fillId="0" borderId="90" xfId="0" applyFont="1" applyBorder="1">
      <alignment vertical="center"/>
    </xf>
    <xf numFmtId="0" fontId="19" fillId="0" borderId="89" xfId="0" applyFont="1" applyBorder="1">
      <alignment vertical="center"/>
    </xf>
    <xf numFmtId="0" fontId="19" fillId="0" borderId="36" xfId="0" applyFont="1" applyBorder="1">
      <alignment vertical="center"/>
    </xf>
    <xf numFmtId="0" fontId="19" fillId="0" borderId="35" xfId="0" applyFont="1" applyBorder="1">
      <alignment vertical="center"/>
    </xf>
    <xf numFmtId="0" fontId="43" fillId="0" borderId="10" xfId="0" applyFont="1" applyBorder="1" applyAlignment="1">
      <alignment vertical="center" wrapText="1"/>
    </xf>
    <xf numFmtId="0" fontId="43" fillId="0" borderId="10" xfId="0" applyFont="1" applyBorder="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45" fillId="0" borderId="53" xfId="0" applyFont="1" applyBorder="1" applyAlignment="1">
      <alignment vertical="center" wrapText="1" shrinkToFit="1"/>
    </xf>
    <xf numFmtId="0" fontId="77" fillId="0" borderId="10" xfId="0" applyFont="1" applyBorder="1" applyAlignment="1">
      <alignment vertical="center" wrapText="1"/>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59" fillId="34" borderId="12" xfId="0" applyFont="1" applyFill="1" applyBorder="1" applyAlignment="1">
      <alignment horizontal="center" vertical="center"/>
    </xf>
    <xf numFmtId="0" fontId="59" fillId="34" borderId="11" xfId="0" applyFont="1" applyFill="1" applyBorder="1" applyAlignment="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0" fontId="55" fillId="0" borderId="0" xfId="0" applyFont="1" applyAlignment="1">
      <alignment horizontal="center" vertical="center"/>
    </xf>
    <xf numFmtId="180" fontId="19" fillId="38" borderId="50" xfId="0" applyNumberFormat="1" applyFont="1" applyFill="1" applyBorder="1" applyAlignment="1">
      <alignment horizontal="right" vertical="center"/>
    </xf>
    <xf numFmtId="180" fontId="19" fillId="38" borderId="44" xfId="0" applyNumberFormat="1" applyFont="1" applyFill="1" applyBorder="1" applyAlignment="1">
      <alignment horizontal="right" vertical="center"/>
    </xf>
    <xf numFmtId="180" fontId="19" fillId="38" borderId="45" xfId="0" applyNumberFormat="1" applyFont="1" applyFill="1" applyBorder="1" applyAlignment="1">
      <alignment horizontal="right" vertical="center"/>
    </xf>
    <xf numFmtId="2" fontId="19" fillId="0" borderId="50" xfId="0" applyNumberFormat="1" applyFont="1" applyBorder="1" applyAlignment="1">
      <alignment horizontal="right" vertical="center"/>
    </xf>
    <xf numFmtId="2" fontId="19" fillId="0" borderId="44" xfId="0" applyNumberFormat="1" applyFont="1" applyBorder="1" applyAlignment="1">
      <alignment horizontal="right" vertical="center"/>
    </xf>
    <xf numFmtId="2" fontId="19" fillId="0" borderId="45" xfId="0" applyNumberFormat="1" applyFont="1" applyBorder="1" applyAlignment="1">
      <alignment horizontal="right" vertical="center"/>
    </xf>
    <xf numFmtId="0" fontId="71" fillId="0" borderId="0" xfId="0" applyFont="1" applyAlignment="1">
      <alignment horizontal="left" vertical="center" shrinkToFit="1"/>
    </xf>
    <xf numFmtId="0" fontId="71" fillId="0" borderId="0" xfId="0" applyFont="1" applyAlignment="1">
      <alignment horizontal="left" wrapText="1" shrinkToFit="1"/>
    </xf>
    <xf numFmtId="0" fontId="71" fillId="0" borderId="0" xfId="0" applyFont="1" applyAlignment="1">
      <alignment horizontal="left" shrinkToFit="1"/>
    </xf>
    <xf numFmtId="184" fontId="71" fillId="0" borderId="0" xfId="0" applyNumberFormat="1" applyFont="1" applyAlignment="1">
      <alignment horizontal="left" vertical="top" shrinkToFit="1"/>
    </xf>
    <xf numFmtId="0" fontId="71" fillId="0" borderId="0" xfId="0" applyFont="1" applyAlignment="1">
      <alignment horizontal="left" vertical="top" indent="7"/>
    </xf>
    <xf numFmtId="0" fontId="71" fillId="0" borderId="0" xfId="0" applyFont="1" applyAlignment="1">
      <alignment horizontal="left" vertical="center" indent="7"/>
    </xf>
    <xf numFmtId="0" fontId="71" fillId="0" borderId="0" xfId="0" applyFont="1" applyAlignment="1">
      <alignment horizontal="left" indent="7"/>
    </xf>
    <xf numFmtId="0" fontId="26" fillId="0" borderId="17" xfId="0" applyFont="1" applyBorder="1" applyAlignment="1">
      <alignment horizontal="left" vertical="center" wrapText="1"/>
    </xf>
    <xf numFmtId="0" fontId="26" fillId="0" borderId="23" xfId="0" applyFont="1" applyBorder="1" applyAlignment="1">
      <alignment horizontal="left" vertical="center" wrapText="1"/>
    </xf>
    <xf numFmtId="0" fontId="26" fillId="0" borderId="12" xfId="0" applyFont="1" applyBorder="1" applyAlignment="1">
      <alignment horizontal="left" vertical="center" wrapText="1"/>
    </xf>
    <xf numFmtId="0" fontId="26" fillId="0" borderId="24" xfId="0" applyFont="1" applyBorder="1" applyAlignment="1">
      <alignment horizontal="left" vertical="center" wrapText="1"/>
    </xf>
    <xf numFmtId="0" fontId="26" fillId="0" borderId="10"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12" xfId="0" applyFont="1" applyBorder="1" applyAlignment="1">
      <alignment horizontal="left" vertical="center" wrapText="1"/>
    </xf>
    <xf numFmtId="0" fontId="23" fillId="0" borderId="24" xfId="0" applyFont="1" applyBorder="1" applyAlignment="1">
      <alignment horizontal="left" vertical="center" wrapText="1"/>
    </xf>
    <xf numFmtId="0" fontId="19" fillId="0" borderId="18" xfId="0" applyFont="1" applyBorder="1" applyAlignment="1">
      <alignment horizontal="right" vertical="center"/>
    </xf>
    <xf numFmtId="0" fontId="19" fillId="0" borderId="19" xfId="0" applyFont="1" applyBorder="1" applyAlignment="1">
      <alignment horizontal="right" vertical="center"/>
    </xf>
    <xf numFmtId="0" fontId="19" fillId="0" borderId="20" xfId="0" applyFont="1" applyBorder="1" applyAlignment="1">
      <alignment horizontal="right" vertical="center"/>
    </xf>
    <xf numFmtId="180" fontId="19" fillId="38" borderId="53" xfId="0" applyNumberFormat="1" applyFont="1" applyFill="1" applyBorder="1" applyAlignment="1">
      <alignment horizontal="right" vertical="center"/>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53" fillId="0" borderId="56" xfId="0" applyFont="1" applyBorder="1" applyAlignment="1">
      <alignment horizontal="center" vertical="center" wrapText="1"/>
    </xf>
    <xf numFmtId="0" fontId="69" fillId="0" borderId="0" xfId="0" applyFont="1" applyAlignment="1">
      <alignment horizontal="center" vertical="center"/>
    </xf>
    <xf numFmtId="0" fontId="66" fillId="0" borderId="0" xfId="0" applyFont="1" applyAlignment="1">
      <alignment horizontal="left" vertical="top" wrapText="1"/>
    </xf>
    <xf numFmtId="58" fontId="66" fillId="0" borderId="0" xfId="0" applyNumberFormat="1" applyFont="1" applyAlignment="1">
      <alignment horizontal="right" vertical="center" indent="1"/>
    </xf>
    <xf numFmtId="0" fontId="19" fillId="0" borderId="0" xfId="0" applyFont="1" applyAlignment="1">
      <alignment horizontal="center" vertical="center" wrapText="1"/>
    </xf>
    <xf numFmtId="2" fontId="19" fillId="0" borderId="47" xfId="0" applyNumberFormat="1" applyFont="1" applyBorder="1" applyAlignment="1">
      <alignment horizontal="right" vertical="center"/>
    </xf>
    <xf numFmtId="2" fontId="19" fillId="0" borderId="66" xfId="0" applyNumberFormat="1" applyFont="1" applyBorder="1" applyAlignment="1">
      <alignment horizontal="right" vertical="center"/>
    </xf>
    <xf numFmtId="0" fontId="23" fillId="0" borderId="54" xfId="0" applyFont="1" applyBorder="1" applyAlignment="1">
      <alignment horizontal="left" vertical="center" wrapText="1"/>
    </xf>
    <xf numFmtId="0" fontId="53" fillId="0" borderId="12" xfId="0" applyFont="1" applyBorder="1" applyAlignment="1">
      <alignment horizontal="left" vertical="center" wrapText="1"/>
    </xf>
    <xf numFmtId="0" fontId="53" fillId="0" borderId="54" xfId="0" applyFont="1" applyBorder="1" applyAlignment="1">
      <alignment horizontal="left" vertical="center" wrapText="1"/>
    </xf>
    <xf numFmtId="0" fontId="29" fillId="0" borderId="12" xfId="0" applyFont="1" applyBorder="1" applyAlignment="1">
      <alignment horizontal="left" vertical="center" wrapText="1"/>
    </xf>
    <xf numFmtId="0" fontId="29" fillId="0" borderId="54" xfId="0" applyFont="1" applyBorder="1" applyAlignment="1">
      <alignment horizontal="left" vertical="center" wrapText="1"/>
    </xf>
    <xf numFmtId="0" fontId="26" fillId="0" borderId="54" xfId="0" applyFont="1" applyBorder="1" applyAlignment="1">
      <alignment horizontal="left" vertical="center" wrapTex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3" fillId="36" borderId="30"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6" fillId="0" borderId="25"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4" fillId="0" borderId="12" xfId="0" applyFont="1" applyBorder="1" applyAlignment="1">
      <alignment horizontal="left" vertical="center" wrapText="1"/>
    </xf>
    <xf numFmtId="0" fontId="24" fillId="0" borderId="24" xfId="0" applyFont="1" applyBorder="1" applyAlignment="1">
      <alignment horizontal="left" vertical="center" wrapText="1"/>
    </xf>
    <xf numFmtId="0" fontId="54" fillId="0" borderId="12" xfId="0" applyFont="1" applyBorder="1" applyAlignment="1">
      <alignment horizontal="left" vertical="center" wrapText="1"/>
    </xf>
    <xf numFmtId="0" fontId="54" fillId="0" borderId="24" xfId="0" applyFont="1" applyBorder="1" applyAlignment="1">
      <alignment horizontal="left" vertical="center" wrapText="1"/>
    </xf>
    <xf numFmtId="0" fontId="29" fillId="0" borderId="10" xfId="0" applyFont="1" applyBorder="1" applyAlignment="1">
      <alignment horizontal="left" vertical="center" wrapTex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0" fontId="21" fillId="0" borderId="44" xfId="0" applyFont="1" applyBorder="1" applyAlignment="1">
      <alignment horizontal="left" vertical="top" wrapText="1" shrinkToFit="1"/>
    </xf>
    <xf numFmtId="0" fontId="21" fillId="0" borderId="53" xfId="0" applyFont="1" applyBorder="1" applyAlignment="1">
      <alignment horizontal="left" vertical="top" wrapText="1" shrinkToFit="1"/>
    </xf>
    <xf numFmtId="0" fontId="57" fillId="0" borderId="23" xfId="0" applyFont="1" applyBorder="1" applyAlignment="1">
      <alignment horizontal="center" vertical="center" wrapText="1"/>
    </xf>
    <xf numFmtId="0" fontId="57" fillId="0" borderId="75" xfId="0" applyFont="1" applyBorder="1" applyAlignment="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1" xfId="0" applyFont="1" applyBorder="1" applyAlignment="1">
      <alignment horizontal="left" vertical="center" wrapText="1"/>
    </xf>
    <xf numFmtId="0" fontId="54" fillId="0" borderId="12" xfId="0" quotePrefix="1" applyFont="1" applyBorder="1" applyAlignment="1">
      <alignment horizontal="left" vertical="center" wrapText="1"/>
    </xf>
    <xf numFmtId="0" fontId="54" fillId="0" borderId="24" xfId="0" quotePrefix="1" applyFont="1" applyBorder="1" applyAlignment="1">
      <alignment horizontal="left" vertical="center" wrapText="1"/>
    </xf>
    <xf numFmtId="0" fontId="24" fillId="0" borderId="54" xfId="0" applyFont="1" applyBorder="1" applyAlignment="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1" xfId="0" applyFont="1" applyBorder="1" applyAlignment="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8" fillId="0" borderId="70" xfId="0" applyFont="1" applyBorder="1" applyAlignment="1">
      <alignment horizontal="right" vertical="center" wrapText="1"/>
    </xf>
    <xf numFmtId="0" fontId="28" fillId="0" borderId="56" xfId="0" applyFont="1" applyBorder="1" applyAlignment="1">
      <alignment horizontal="right" vertical="center" wrapTex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77" fontId="26" fillId="0" borderId="18"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33" borderId="18"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0" fontId="54" fillId="0" borderId="17" xfId="0" applyFont="1" applyBorder="1" applyAlignment="1">
      <alignment horizontal="left" vertical="center" wrapText="1"/>
    </xf>
    <xf numFmtId="0" fontId="54" fillId="0" borderId="75" xfId="0" applyFont="1" applyBorder="1" applyAlignment="1">
      <alignment horizontal="left"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7" xfId="0" applyFont="1" applyBorder="1" applyAlignment="1">
      <alignment horizontal="left" vertical="center" wrapText="1"/>
    </xf>
    <xf numFmtId="0" fontId="54" fillId="0" borderId="14" xfId="0" quotePrefix="1" applyFont="1" applyBorder="1" applyAlignment="1">
      <alignment horizontal="left" vertical="center" wrapText="1"/>
    </xf>
    <xf numFmtId="0" fontId="54" fillId="0" borderId="21" xfId="0" quotePrefix="1" applyFont="1" applyBorder="1" applyAlignment="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177" fontId="26" fillId="0" borderId="8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0" fontId="26" fillId="0" borderId="12" xfId="0" applyFont="1" applyBorder="1" applyAlignment="1">
      <alignment horizontal="left" vertical="center"/>
    </xf>
    <xf numFmtId="177" fontId="26" fillId="0" borderId="88" xfId="0" applyNumberFormat="1"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0" fontId="21" fillId="0" borderId="0" xfId="0" applyFont="1" applyAlignment="1">
      <alignment horizontal="right" vertical="center" wrapText="1"/>
    </xf>
    <xf numFmtId="0" fontId="21" fillId="0" borderId="0" xfId="0" applyFont="1" applyAlignment="1">
      <alignment horizontal="left" vertical="center" shrinkToFi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23" fillId="0" borderId="21" xfId="0" applyFont="1" applyBorder="1" applyAlignment="1">
      <alignment horizontal="left" vertical="center" wrapText="1"/>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0" fontId="37" fillId="0" borderId="18" xfId="0" applyFont="1" applyBorder="1" applyAlignment="1">
      <alignment horizontal="center" vertical="center" textRotation="255"/>
    </xf>
    <xf numFmtId="0" fontId="37" fillId="0" borderId="19" xfId="0" applyFont="1" applyBorder="1" applyAlignment="1">
      <alignment horizontal="center" vertical="center" textRotation="255"/>
    </xf>
    <xf numFmtId="0" fontId="37" fillId="0" borderId="25" xfId="0" applyFont="1" applyBorder="1" applyAlignment="1">
      <alignment horizontal="center" vertical="center" textRotation="255"/>
    </xf>
    <xf numFmtId="0" fontId="37" fillId="0" borderId="20" xfId="0" applyFont="1" applyBorder="1" applyAlignment="1">
      <alignment horizontal="center" vertical="center" textRotation="255"/>
    </xf>
    <xf numFmtId="0" fontId="21" fillId="0" borderId="8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Border="1" applyAlignment="1">
      <alignment horizontal="left"/>
    </xf>
    <xf numFmtId="0" fontId="29" fillId="0" borderId="0" xfId="0" applyFont="1" applyAlignment="1">
      <alignment horizontal="left"/>
    </xf>
    <xf numFmtId="0" fontId="53" fillId="0" borderId="17" xfId="0" applyFont="1" applyBorder="1" applyAlignment="1">
      <alignment horizontal="right" vertical="center"/>
    </xf>
    <xf numFmtId="0" fontId="53" fillId="0" borderId="23" xfId="0" applyFont="1" applyBorder="1" applyAlignment="1">
      <alignment horizontal="right" vertical="center"/>
    </xf>
    <xf numFmtId="0" fontId="53" fillId="0" borderId="13" xfId="0" applyFont="1" applyBorder="1" applyAlignment="1">
      <alignment horizontal="right" vertical="center"/>
    </xf>
    <xf numFmtId="0" fontId="53" fillId="0" borderId="24" xfId="0" applyFont="1" applyBorder="1" applyAlignment="1">
      <alignment horizontal="center" vertical="center"/>
    </xf>
    <xf numFmtId="0" fontId="37" fillId="0" borderId="60" xfId="0" applyFont="1" applyBorder="1" applyAlignment="1">
      <alignment horizontal="center" vertical="center" textRotation="255"/>
    </xf>
    <xf numFmtId="0" fontId="37" fillId="0" borderId="61" xfId="0" applyFont="1" applyBorder="1" applyAlignment="1">
      <alignment horizontal="center" vertical="center" textRotation="255"/>
    </xf>
    <xf numFmtId="0" fontId="37" fillId="0" borderId="62" xfId="0" applyFont="1" applyBorder="1" applyAlignment="1">
      <alignment horizontal="center" vertical="center" textRotation="255"/>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177" fontId="26" fillId="0" borderId="63" xfId="0" applyNumberFormat="1" applyFont="1" applyBorder="1" applyAlignment="1">
      <alignment horizontal="center" vertical="center" wrapText="1"/>
    </xf>
    <xf numFmtId="0" fontId="26" fillId="0" borderId="64"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177" fontId="26" fillId="33" borderId="64"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4" xfId="0" applyNumberFormat="1" applyFont="1" applyBorder="1" applyAlignment="1">
      <alignment horizontal="center" vertical="center" wrapText="1"/>
    </xf>
    <xf numFmtId="0" fontId="23" fillId="35" borderId="44" xfId="0" applyFont="1" applyFill="1" applyBorder="1" applyAlignment="1" applyProtection="1">
      <alignment horizontal="center" vertical="center" shrinkToFit="1"/>
      <protection locked="0"/>
    </xf>
    <xf numFmtId="0" fontId="26" fillId="0" borderId="65" xfId="0" applyFont="1" applyBorder="1" applyAlignment="1">
      <alignment horizontal="left" vertical="center" wrapText="1"/>
    </xf>
    <xf numFmtId="0" fontId="26" fillId="0" borderId="68" xfId="0" applyFont="1" applyBorder="1" applyAlignment="1">
      <alignment horizontal="left" vertical="center" wrapText="1"/>
    </xf>
    <xf numFmtId="0" fontId="75" fillId="0" borderId="18" xfId="0" applyFont="1" applyBorder="1" applyAlignment="1">
      <alignment horizontal="left" wrapText="1"/>
    </xf>
    <xf numFmtId="0" fontId="75" fillId="0" borderId="19" xfId="0" applyFont="1" applyBorder="1" applyAlignment="1">
      <alignment horizontal="left" wrapText="1"/>
    </xf>
    <xf numFmtId="0" fontId="75" fillId="0" borderId="63" xfId="0" applyFont="1" applyBorder="1" applyAlignment="1">
      <alignment horizontal="left" wrapText="1"/>
    </xf>
    <xf numFmtId="0" fontId="26" fillId="0" borderId="84" xfId="0" applyFont="1" applyBorder="1" applyAlignment="1">
      <alignment horizontal="left" vertical="center" wrapText="1"/>
    </xf>
    <xf numFmtId="0" fontId="26" fillId="0" borderId="86" xfId="0" applyFont="1" applyBorder="1" applyAlignment="1">
      <alignment horizontal="left" vertical="center" wrapText="1"/>
    </xf>
    <xf numFmtId="0" fontId="23" fillId="0" borderId="50" xfId="0" applyFont="1" applyBorder="1" applyAlignment="1">
      <alignment horizontal="left" vertical="center" wrapText="1" shrinkToFit="1"/>
    </xf>
    <xf numFmtId="0" fontId="23" fillId="0" borderId="53" xfId="0" applyFont="1" applyBorder="1" applyAlignment="1">
      <alignment horizontal="left" vertical="center" wrapText="1" shrinkToFit="1"/>
    </xf>
    <xf numFmtId="0" fontId="23" fillId="36" borderId="56" xfId="0" applyFont="1" applyFill="1" applyBorder="1" applyAlignment="1" applyProtection="1">
      <alignment horizontal="center" vertical="center" wrapText="1"/>
      <protection locked="0"/>
    </xf>
    <xf numFmtId="0" fontId="23" fillId="0" borderId="11" xfId="0" applyFont="1" applyBorder="1" applyAlignment="1">
      <alignment horizontal="left" vertical="center" wrapText="1"/>
    </xf>
    <xf numFmtId="0" fontId="23" fillId="0" borderId="14" xfId="0" applyFont="1" applyBorder="1" applyAlignment="1">
      <alignment horizontal="left" vertical="center" wrapText="1"/>
    </xf>
    <xf numFmtId="0" fontId="37" fillId="0" borderId="10" xfId="0" applyFont="1" applyBorder="1" applyAlignment="1">
      <alignment horizontal="center" vertical="center" textRotation="255"/>
    </xf>
    <xf numFmtId="177" fontId="26" fillId="33" borderId="10" xfId="0" applyNumberFormat="1" applyFont="1" applyFill="1" applyBorder="1" applyAlignment="1">
      <alignment horizontal="center" vertical="center" wrapText="1"/>
    </xf>
    <xf numFmtId="177" fontId="26" fillId="33" borderId="65" xfId="0" applyNumberFormat="1" applyFont="1" applyFill="1" applyBorder="1" applyAlignment="1">
      <alignment horizontal="center"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176" fontId="23" fillId="0" borderId="20" xfId="0" applyNumberFormat="1" applyFont="1" applyBorder="1" applyAlignment="1">
      <alignment horizontal="center" vertical="center" wrapText="1"/>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76" xfId="0" applyFont="1" applyBorder="1" applyAlignment="1">
      <alignment horizontal="center"/>
    </xf>
    <xf numFmtId="0" fontId="53" fillId="0" borderId="58" xfId="0" applyFont="1" applyBorder="1" applyAlignment="1">
      <alignment horizontal="center"/>
    </xf>
    <xf numFmtId="0" fontId="53" fillId="0" borderId="59" xfId="0" applyFont="1" applyBorder="1" applyAlignment="1">
      <alignment horizontal="center"/>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23" fillId="0" borderId="10" xfId="0" applyFont="1" applyBorder="1" applyAlignment="1">
      <alignment horizontal="left" vertical="center" wrapText="1"/>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lignment horizontal="justify" vertical="center" wrapText="1"/>
    </xf>
    <xf numFmtId="0" fontId="54" fillId="0" borderId="0" xfId="0" applyFont="1" applyAlignment="1">
      <alignment horizontal="justify" vertical="top" wrapText="1"/>
    </xf>
    <xf numFmtId="0" fontId="54" fillId="0" borderId="24" xfId="0" applyFont="1" applyBorder="1" applyAlignment="1">
      <alignment horizontal="center" vertical="center" wrapText="1"/>
    </xf>
    <xf numFmtId="0" fontId="54" fillId="0" borderId="24"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4"/>
  <sheetViews>
    <sheetView showGridLines="0" tabSelected="1" view="pageBreakPreview" zoomScale="60" zoomScaleNormal="60" workbookViewId="0">
      <selection activeCell="D16" sqref="D16:E16"/>
    </sheetView>
  </sheetViews>
  <sheetFormatPr defaultColWidth="8.88671875"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19.95" customHeight="1" x14ac:dyDescent="0.2">
      <c r="C1" s="287" t="s">
        <v>240</v>
      </c>
      <c r="D1" s="287"/>
      <c r="E1" s="287"/>
      <c r="F1" s="287"/>
      <c r="H1" t="s">
        <v>400</v>
      </c>
    </row>
    <row r="2" spans="2:10" ht="19.95" customHeight="1" x14ac:dyDescent="0.2">
      <c r="C2" s="147" t="s">
        <v>309</v>
      </c>
    </row>
    <row r="3" spans="2:10" ht="19.95" customHeight="1" x14ac:dyDescent="0.2">
      <c r="B3" s="25"/>
      <c r="C3" s="146" t="s">
        <v>311</v>
      </c>
    </row>
    <row r="4" spans="2:10" ht="30" customHeight="1" x14ac:dyDescent="0.2">
      <c r="B4" s="25"/>
      <c r="C4" s="137" t="s">
        <v>297</v>
      </c>
      <c r="D4" s="279" t="s">
        <v>316</v>
      </c>
      <c r="E4" s="280"/>
      <c r="F4" s="137" t="s">
        <v>291</v>
      </c>
      <c r="H4" s="158" t="s">
        <v>315</v>
      </c>
    </row>
    <row r="5" spans="2:10" ht="30" customHeight="1" x14ac:dyDescent="0.2">
      <c r="B5" s="25"/>
      <c r="C5" s="1" t="s">
        <v>285</v>
      </c>
      <c r="D5" s="273" t="s">
        <v>292</v>
      </c>
      <c r="E5" s="274"/>
      <c r="F5" s="135"/>
      <c r="H5" s="11" t="str">
        <f t="shared" ref="H5:H10" si="0">D5</f>
        <v>令和○年○月○日</v>
      </c>
    </row>
    <row r="6" spans="2:10" ht="30" customHeight="1" x14ac:dyDescent="0.2">
      <c r="B6" s="25"/>
      <c r="C6" s="1" t="s">
        <v>286</v>
      </c>
      <c r="D6" s="277" t="s">
        <v>312</v>
      </c>
      <c r="E6" s="278"/>
      <c r="F6" s="1" t="s">
        <v>294</v>
      </c>
      <c r="H6" s="11" t="str">
        <f t="shared" si="0"/>
        <v>○○市○○町○○番地</v>
      </c>
    </row>
    <row r="7" spans="2:10" ht="30" customHeight="1" x14ac:dyDescent="0.2">
      <c r="B7" s="25"/>
      <c r="C7" s="1" t="s">
        <v>287</v>
      </c>
      <c r="D7" s="285" t="s">
        <v>278</v>
      </c>
      <c r="E7" s="286"/>
      <c r="F7" s="1" t="s">
        <v>299</v>
      </c>
      <c r="H7" s="11" t="str">
        <f t="shared" si="0"/>
        <v>株式会社○○○○</v>
      </c>
    </row>
    <row r="8" spans="2:10" ht="30" customHeight="1" x14ac:dyDescent="0.2">
      <c r="B8" s="25"/>
      <c r="C8" s="1" t="s">
        <v>288</v>
      </c>
      <c r="D8" s="277" t="s">
        <v>295</v>
      </c>
      <c r="E8" s="278"/>
      <c r="F8" s="1" t="s">
        <v>299</v>
      </c>
      <c r="H8" s="11" t="str">
        <f t="shared" si="0"/>
        <v>代表取締役　○○○○</v>
      </c>
    </row>
    <row r="9" spans="2:10" ht="30" customHeight="1" x14ac:dyDescent="0.2">
      <c r="B9" s="25"/>
      <c r="C9" s="1" t="s">
        <v>289</v>
      </c>
      <c r="D9" s="277" t="s">
        <v>310</v>
      </c>
      <c r="E9" s="278"/>
      <c r="F9" s="1" t="s">
        <v>299</v>
      </c>
      <c r="H9" s="11" t="str">
        <f t="shared" si="0"/>
        <v>000-000-0000</v>
      </c>
    </row>
    <row r="10" spans="2:10" ht="30" customHeight="1" x14ac:dyDescent="0.2">
      <c r="B10" s="25"/>
      <c r="C10" s="1" t="s">
        <v>290</v>
      </c>
      <c r="D10" s="277" t="s">
        <v>296</v>
      </c>
      <c r="E10" s="278"/>
      <c r="F10" s="1" t="s">
        <v>299</v>
      </c>
      <c r="H10" s="11" t="str">
        <f t="shared" si="0"/>
        <v>○○○○</v>
      </c>
    </row>
    <row r="11" spans="2:10" ht="30" customHeight="1" x14ac:dyDescent="0.2">
      <c r="B11" s="25"/>
      <c r="C11" s="1" t="s">
        <v>293</v>
      </c>
      <c r="D11" s="277" t="s">
        <v>321</v>
      </c>
      <c r="E11" s="278"/>
      <c r="F11" s="244" t="s">
        <v>314</v>
      </c>
      <c r="H11" s="11" t="str">
        <f>D11</f>
        <v>○○・△△特定建設工事共同企業体</v>
      </c>
    </row>
    <row r="12" spans="2:10" ht="30" customHeight="1" x14ac:dyDescent="0.2">
      <c r="C12" s="137" t="s">
        <v>298</v>
      </c>
      <c r="D12" s="279" t="s">
        <v>317</v>
      </c>
      <c r="E12" s="280"/>
      <c r="F12" s="137" t="s">
        <v>133</v>
      </c>
      <c r="H12" s="158" t="s">
        <v>320</v>
      </c>
    </row>
    <row r="13" spans="2:10" ht="30" customHeight="1" x14ac:dyDescent="0.2">
      <c r="C13" s="148" t="s">
        <v>132</v>
      </c>
      <c r="D13" s="273">
        <v>45861</v>
      </c>
      <c r="E13" s="274"/>
      <c r="F13" s="264" t="s">
        <v>390</v>
      </c>
      <c r="G13" s="27"/>
      <c r="H13" s="11">
        <f t="shared" ref="H13:H15" si="1">D13</f>
        <v>45861</v>
      </c>
      <c r="I13" s="12"/>
      <c r="J13" s="12"/>
    </row>
    <row r="14" spans="2:10" ht="30" customHeight="1" x14ac:dyDescent="0.2">
      <c r="C14" s="26" t="s">
        <v>130</v>
      </c>
      <c r="D14" s="275" t="s">
        <v>401</v>
      </c>
      <c r="E14" s="276"/>
      <c r="F14" s="264" t="s">
        <v>391</v>
      </c>
      <c r="G14" s="27"/>
      <c r="H14" s="11" t="str">
        <f>D14</f>
        <v xml:space="preserve">第25-01135-0008号 </v>
      </c>
      <c r="I14" s="12"/>
      <c r="J14" s="12"/>
    </row>
    <row r="15" spans="2:10" ht="30" customHeight="1" x14ac:dyDescent="0.2">
      <c r="C15" s="28" t="s">
        <v>131</v>
      </c>
      <c r="D15" s="283" t="s">
        <v>402</v>
      </c>
      <c r="E15" s="284"/>
      <c r="F15" s="265" t="s">
        <v>392</v>
      </c>
      <c r="G15" s="27"/>
      <c r="H15" s="11" t="str">
        <f t="shared" si="1"/>
        <v>東分庁舎屋上防水等改修工事</v>
      </c>
      <c r="I15" s="12"/>
      <c r="J15" s="12"/>
    </row>
    <row r="16" spans="2:10" ht="30" customHeight="1" x14ac:dyDescent="0.2">
      <c r="C16" s="29" t="s">
        <v>235</v>
      </c>
      <c r="D16" s="281" t="s">
        <v>174</v>
      </c>
      <c r="E16" s="282"/>
      <c r="F16" s="159" t="s">
        <v>318</v>
      </c>
      <c r="H16" s="13">
        <f>IF(OR(D16="一般土木工事",D16="舗装工事"),1,IF(OR(D16="建築工事",D16="電気設備工事",D16="暖冷房衛生設備工事"),2,10))</f>
        <v>2</v>
      </c>
      <c r="I16" t="s">
        <v>380</v>
      </c>
    </row>
    <row r="17" spans="3:9" ht="30" customHeight="1" x14ac:dyDescent="0.2">
      <c r="C17" s="28" t="s">
        <v>191</v>
      </c>
      <c r="D17" s="285" t="s">
        <v>4</v>
      </c>
      <c r="E17" s="286"/>
      <c r="F17" s="159"/>
      <c r="H17" s="13">
        <f>VLOOKUP(D17,リスト2!G3:I6,3,FALSE)</f>
        <v>3</v>
      </c>
      <c r="I17" t="s">
        <v>228</v>
      </c>
    </row>
    <row r="18" spans="3:9" ht="30" customHeight="1" x14ac:dyDescent="0.2">
      <c r="C18" s="271" t="s">
        <v>236</v>
      </c>
      <c r="D18" s="30" t="s">
        <v>120</v>
      </c>
      <c r="E18" s="30" t="s">
        <v>126</v>
      </c>
      <c r="F18" s="271" t="s">
        <v>319</v>
      </c>
    </row>
    <row r="19" spans="3:9" ht="30" customHeight="1" x14ac:dyDescent="0.2">
      <c r="C19" s="272"/>
      <c r="D19" s="136" t="s">
        <v>61</v>
      </c>
      <c r="E19" s="136" t="s">
        <v>168</v>
      </c>
      <c r="F19" s="272"/>
    </row>
    <row r="20" spans="3:9" ht="30" customHeight="1" x14ac:dyDescent="0.2">
      <c r="C20" s="11" t="s">
        <v>128</v>
      </c>
      <c r="D20" s="1" t="str">
        <f>VLOOKUP(D19,リスト2!$C$3:$E$64,2,FALSE)</f>
        <v>県北土木</v>
      </c>
      <c r="E20" s="1" t="str">
        <f>VLOOKUP(E19,リスト2!$C$3:$E$64,2,FALSE)</f>
        <v>-</v>
      </c>
      <c r="F20" s="1" t="s">
        <v>234</v>
      </c>
    </row>
    <row r="21" spans="3:9" ht="30" customHeight="1" x14ac:dyDescent="0.2">
      <c r="C21" s="11" t="s">
        <v>129</v>
      </c>
      <c r="D21" s="1" t="str">
        <f>VLOOKUP(D19,リスト2!$C$3:$E$64,3,FALSE)</f>
        <v>県北建設</v>
      </c>
      <c r="E21" s="1" t="str">
        <f>VLOOKUP(E19,リスト2!$C$3:$E$64,3,FALSE)</f>
        <v>-</v>
      </c>
      <c r="F21" s="1" t="s">
        <v>127</v>
      </c>
    </row>
    <row r="22" spans="3:9" ht="30" customHeight="1" x14ac:dyDescent="0.2">
      <c r="F22" s="139" t="s">
        <v>233</v>
      </c>
    </row>
    <row r="23" spans="3:9" ht="30" customHeight="1" x14ac:dyDescent="0.2">
      <c r="C23" s="1" t="s">
        <v>124</v>
      </c>
      <c r="D23" s="31">
        <f>'2.様式第1号、第11号-1(特別簡易型)'!V47</f>
        <v>0</v>
      </c>
      <c r="E23" s="1" t="s">
        <v>125</v>
      </c>
      <c r="F23" s="138" t="s">
        <v>300</v>
      </c>
    </row>
    <row r="24" spans="3:9" ht="20.100000000000001" customHeight="1" x14ac:dyDescent="0.2"/>
  </sheetData>
  <sheetProtection algorithmName="SHA-512" hashValue="1vNtaSx2evp1d0EemH910DNxhEL7j7qD3jefaSzK0s6OXx2cPRCUzpDO6P4wM9xoylsZBaWKjiN1YGcz3WtkRQ==" saltValue="PDFd+Quq4uVvFnnxe5YFWw==" spinCount="100000" sheet="1" objects="1" scenarios="1"/>
  <mergeCells count="17">
    <mergeCell ref="D4:E4"/>
    <mergeCell ref="D5:E5"/>
    <mergeCell ref="D6:E6"/>
    <mergeCell ref="D7:E7"/>
    <mergeCell ref="C1:F1"/>
    <mergeCell ref="F18:F19"/>
    <mergeCell ref="C18:C19"/>
    <mergeCell ref="D13:E13"/>
    <mergeCell ref="D14:E14"/>
    <mergeCell ref="D8:E8"/>
    <mergeCell ref="D9:E9"/>
    <mergeCell ref="D10:E10"/>
    <mergeCell ref="D11:E11"/>
    <mergeCell ref="D12:E12"/>
    <mergeCell ref="D16:E16"/>
    <mergeCell ref="D15:E15"/>
    <mergeCell ref="D17:E17"/>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view="pageBreakPreview" topLeftCell="A10" zoomScale="60" zoomScaleNormal="60" workbookViewId="0">
      <selection activeCell="S63" sqref="S63:S66"/>
    </sheetView>
  </sheetViews>
  <sheetFormatPr defaultColWidth="8.88671875" defaultRowHeight="13.2" x14ac:dyDescent="0.2"/>
  <cols>
    <col min="1" max="1" width="2" customWidth="1"/>
    <col min="2" max="3" width="3.44140625" customWidth="1"/>
    <col min="4" max="4" width="13" customWidth="1"/>
    <col min="5" max="6" width="7.21875" customWidth="1"/>
    <col min="7" max="7" width="19.21875" customWidth="1"/>
    <col min="8" max="8" width="4.44140625" customWidth="1"/>
    <col min="9" max="9" width="3.44140625" customWidth="1"/>
    <col min="10" max="10" width="4.21875" customWidth="1"/>
    <col min="11" max="17" width="3.44140625" customWidth="1"/>
    <col min="18" max="18" width="11.88671875" customWidth="1"/>
    <col min="19" max="19" width="16.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4" max="44" width="11.21875" customWidth="1"/>
    <col min="45" max="45" width="12.33203125" customWidth="1"/>
  </cols>
  <sheetData>
    <row r="1" spans="1:19" ht="15" customHeight="1" x14ac:dyDescent="0.2">
      <c r="S1" s="210" t="str">
        <f>'1.基本データ(このシートは削除しないこと！)'!H1</f>
        <v>令和７年度様式（令和７年４月１日以降の入札公告から適用）</v>
      </c>
    </row>
    <row r="2" spans="1:19" s="201" customFormat="1" ht="15" customHeight="1" x14ac:dyDescent="0.2"/>
    <row r="3" spans="1:19" s="201" customFormat="1" ht="15" customHeight="1" x14ac:dyDescent="0.2"/>
    <row r="4" spans="1:19" s="201" customFormat="1" ht="19.95" customHeight="1" x14ac:dyDescent="0.2">
      <c r="C4" s="205" t="s">
        <v>369</v>
      </c>
    </row>
    <row r="5" spans="1:19" s="201" customFormat="1" ht="38.4" customHeight="1" x14ac:dyDescent="0.2">
      <c r="A5" s="318" t="s">
        <v>368</v>
      </c>
      <c r="B5" s="318"/>
      <c r="C5" s="318"/>
      <c r="D5" s="318"/>
      <c r="E5" s="318"/>
      <c r="F5" s="318"/>
      <c r="G5" s="318"/>
      <c r="H5" s="318"/>
      <c r="I5" s="318"/>
      <c r="J5" s="318"/>
      <c r="K5" s="318"/>
      <c r="L5" s="318"/>
      <c r="M5" s="318"/>
      <c r="N5" s="318"/>
      <c r="O5" s="318"/>
      <c r="P5" s="318"/>
      <c r="Q5" s="318"/>
      <c r="R5" s="318"/>
      <c r="S5" s="318"/>
    </row>
    <row r="6" spans="1:19" s="201" customFormat="1" ht="19.95" customHeight="1" x14ac:dyDescent="0.2">
      <c r="A6" s="165"/>
      <c r="B6" s="204"/>
      <c r="C6" s="205"/>
      <c r="D6" s="205"/>
      <c r="E6" s="205"/>
      <c r="F6" s="205"/>
      <c r="G6" s="205"/>
      <c r="H6" s="205"/>
      <c r="I6" s="205"/>
      <c r="J6" s="205"/>
      <c r="K6" s="205"/>
      <c r="L6" s="205"/>
      <c r="M6" s="205"/>
      <c r="N6" s="205"/>
      <c r="O6" s="215"/>
      <c r="P6" s="215"/>
      <c r="Q6" s="320"/>
      <c r="R6" s="320"/>
      <c r="S6" s="320"/>
    </row>
    <row r="7" spans="1:19" s="201" customFormat="1" ht="19.95" customHeight="1" x14ac:dyDescent="0.2">
      <c r="A7" s="166"/>
      <c r="B7" s="207"/>
      <c r="C7" s="204"/>
      <c r="D7" s="204"/>
      <c r="E7" s="205"/>
      <c r="F7" s="205"/>
      <c r="G7" s="205"/>
      <c r="H7" s="205"/>
      <c r="I7" s="205"/>
      <c r="J7" s="205"/>
      <c r="K7" s="205"/>
      <c r="L7" s="205"/>
      <c r="M7" s="205"/>
      <c r="N7" s="205"/>
      <c r="O7" s="205"/>
      <c r="P7" s="205"/>
      <c r="Q7" s="205"/>
      <c r="R7" s="205"/>
      <c r="S7" s="205"/>
    </row>
    <row r="8" spans="1:19" s="201" customFormat="1" ht="19.95" customHeight="1" x14ac:dyDescent="0.2">
      <c r="B8" s="204"/>
      <c r="C8" s="204" t="s">
        <v>14</v>
      </c>
      <c r="D8" s="204"/>
      <c r="E8" s="205"/>
      <c r="F8" s="205"/>
      <c r="G8" s="205"/>
      <c r="H8" s="205"/>
      <c r="I8" s="205"/>
      <c r="J8" s="205"/>
      <c r="K8" s="205"/>
      <c r="L8" s="205"/>
      <c r="M8" s="205"/>
      <c r="N8" s="205"/>
      <c r="O8" s="205"/>
      <c r="P8" s="205"/>
      <c r="Q8" s="205"/>
      <c r="R8" s="205"/>
      <c r="S8" s="205"/>
    </row>
    <row r="9" spans="1:19" s="201" customFormat="1" ht="19.95" customHeight="1" x14ac:dyDescent="0.2">
      <c r="A9" s="166"/>
      <c r="B9" s="207"/>
      <c r="C9" s="204"/>
      <c r="D9" s="204"/>
      <c r="E9" s="205"/>
      <c r="F9" s="205"/>
      <c r="G9" s="205"/>
      <c r="H9" s="205"/>
      <c r="I9" s="205"/>
      <c r="J9" s="205"/>
      <c r="K9" s="205"/>
      <c r="L9" s="205"/>
      <c r="M9" s="205"/>
      <c r="N9" s="205"/>
      <c r="O9" s="205"/>
      <c r="P9" s="205"/>
      <c r="Q9" s="205"/>
      <c r="R9" s="205"/>
      <c r="S9" s="205"/>
    </row>
    <row r="10" spans="1:19" s="201" customFormat="1" ht="25.05" customHeight="1" x14ac:dyDescent="0.2">
      <c r="A10" s="166"/>
      <c r="B10" s="204"/>
      <c r="C10" s="205"/>
      <c r="D10" s="205"/>
      <c r="E10" s="205"/>
      <c r="F10" s="205"/>
      <c r="G10" s="205"/>
      <c r="H10" s="205"/>
      <c r="I10" s="205"/>
      <c r="J10" s="205"/>
      <c r="K10" s="205"/>
      <c r="L10" s="294" t="str">
        <f>IF('1.基本データ(このシートは削除しないこと！)'!H11=0,"",'1.基本データ(このシートは削除しないこと！)'!H11)</f>
        <v>○○・△△特定建設工事共同企業体</v>
      </c>
      <c r="M10" s="294"/>
      <c r="N10" s="294"/>
      <c r="O10" s="294"/>
      <c r="P10" s="294"/>
      <c r="Q10" s="294"/>
      <c r="R10" s="294"/>
      <c r="S10" s="294"/>
    </row>
    <row r="11" spans="1:19" s="201" customFormat="1" ht="25.05" customHeight="1" x14ac:dyDescent="0.2">
      <c r="B11" s="205"/>
      <c r="C11" s="205"/>
      <c r="D11" s="205"/>
      <c r="E11" s="205"/>
      <c r="F11" s="205"/>
      <c r="G11" s="205"/>
      <c r="H11" s="205"/>
      <c r="I11" s="205"/>
      <c r="J11" s="205"/>
      <c r="K11" s="206" t="str">
        <f>IF('1.基本データ(このシートは削除しないこと！)'!H11=0," ","代表構成員")</f>
        <v>代表構成員</v>
      </c>
      <c r="L11" s="295" t="str">
        <f>'1.基本データ(このシートは削除しないこと！)'!H6</f>
        <v>○○市○○町○○番地</v>
      </c>
      <c r="M11" s="295"/>
      <c r="N11" s="295"/>
      <c r="O11" s="295"/>
      <c r="P11" s="295"/>
      <c r="Q11" s="295"/>
      <c r="R11" s="295"/>
      <c r="S11" s="295"/>
    </row>
    <row r="12" spans="1:19" s="201" customFormat="1" ht="25.05" customHeight="1" x14ac:dyDescent="0.25">
      <c r="A12" s="165"/>
      <c r="B12" s="205"/>
      <c r="C12" s="205"/>
      <c r="D12" s="205"/>
      <c r="E12" s="205"/>
      <c r="F12" s="205"/>
      <c r="G12" s="300" t="s">
        <v>370</v>
      </c>
      <c r="H12" s="300"/>
      <c r="I12" s="300"/>
      <c r="J12" s="300"/>
      <c r="K12" s="300"/>
      <c r="L12" s="295"/>
      <c r="M12" s="295"/>
      <c r="N12" s="295"/>
      <c r="O12" s="295"/>
      <c r="P12" s="295"/>
      <c r="Q12" s="295"/>
      <c r="R12" s="295"/>
      <c r="S12" s="295"/>
    </row>
    <row r="13" spans="1:19" s="201" customFormat="1" ht="25.05" customHeight="1" x14ac:dyDescent="0.25">
      <c r="A13" s="165"/>
      <c r="B13" s="205"/>
      <c r="C13" s="205"/>
      <c r="D13" s="205"/>
      <c r="E13" s="205"/>
      <c r="F13" s="205"/>
      <c r="G13" s="300" t="s">
        <v>5</v>
      </c>
      <c r="H13" s="300"/>
      <c r="I13" s="300"/>
      <c r="J13" s="300"/>
      <c r="K13" s="300"/>
      <c r="L13" s="296" t="str">
        <f>'1.基本データ(このシートは削除しないこと！)'!H7</f>
        <v>株式会社○○○○</v>
      </c>
      <c r="M13" s="296"/>
      <c r="N13" s="296"/>
      <c r="O13" s="296"/>
      <c r="P13" s="296"/>
      <c r="Q13" s="296"/>
      <c r="R13" s="296"/>
      <c r="S13" s="296"/>
    </row>
    <row r="14" spans="1:19" s="201" customFormat="1" ht="25.05" customHeight="1" x14ac:dyDescent="0.25">
      <c r="A14" s="165"/>
      <c r="B14" s="205"/>
      <c r="C14" s="205"/>
      <c r="D14" s="205"/>
      <c r="E14" s="205"/>
      <c r="F14" s="205"/>
      <c r="G14" s="300" t="s">
        <v>12</v>
      </c>
      <c r="H14" s="300"/>
      <c r="I14" s="300"/>
      <c r="J14" s="300"/>
      <c r="K14" s="300"/>
      <c r="L14" s="296" t="str">
        <f>'1.基本データ(このシートは削除しないこと！)'!H8</f>
        <v>代表取締役　○○○○</v>
      </c>
      <c r="M14" s="296"/>
      <c r="N14" s="296"/>
      <c r="O14" s="296"/>
      <c r="P14" s="296"/>
      <c r="Q14" s="296"/>
      <c r="R14" s="296"/>
      <c r="S14" s="296"/>
    </row>
    <row r="15" spans="1:19" s="201" customFormat="1" ht="25.05" customHeight="1" x14ac:dyDescent="0.2">
      <c r="A15" s="165"/>
      <c r="B15" s="208"/>
      <c r="C15" s="209"/>
      <c r="D15" s="204"/>
      <c r="E15" s="205"/>
      <c r="F15" s="205"/>
      <c r="G15" s="211"/>
      <c r="H15" s="211"/>
      <c r="I15" s="211"/>
      <c r="J15" s="211"/>
      <c r="K15" s="211"/>
      <c r="L15" s="211"/>
      <c r="M15" s="211"/>
      <c r="N15" s="211"/>
      <c r="O15" s="211"/>
      <c r="P15" s="211"/>
      <c r="Q15" s="211"/>
      <c r="R15" s="211"/>
      <c r="S15" s="211"/>
    </row>
    <row r="16" spans="1:19" s="201" customFormat="1" ht="25.05" customHeight="1" x14ac:dyDescent="0.2">
      <c r="A16" s="165"/>
      <c r="B16" s="205"/>
      <c r="C16" s="205"/>
      <c r="D16" s="204"/>
      <c r="E16" s="205"/>
      <c r="F16" s="205"/>
      <c r="G16" s="299" t="s">
        <v>6</v>
      </c>
      <c r="H16" s="299"/>
      <c r="I16" s="299"/>
      <c r="J16" s="299"/>
      <c r="K16" s="299"/>
      <c r="L16" s="294" t="str">
        <f>'1.基本データ(このシートは削除しないこと！)'!H9</f>
        <v>000-000-0000</v>
      </c>
      <c r="M16" s="294"/>
      <c r="N16" s="294"/>
      <c r="O16" s="294"/>
      <c r="P16" s="294"/>
      <c r="Q16" s="294"/>
      <c r="R16" s="294"/>
      <c r="S16" s="294"/>
    </row>
    <row r="17" spans="1:19" s="201" customFormat="1" ht="25.05" customHeight="1" x14ac:dyDescent="0.2">
      <c r="A17" s="165"/>
      <c r="B17" s="205"/>
      <c r="C17" s="205"/>
      <c r="D17" s="204"/>
      <c r="E17" s="205"/>
      <c r="F17" s="205"/>
      <c r="G17" s="298" t="s">
        <v>13</v>
      </c>
      <c r="H17" s="298"/>
      <c r="I17" s="298"/>
      <c r="J17" s="298"/>
      <c r="K17" s="298"/>
      <c r="L17" s="297" t="str">
        <f>'1.基本データ(このシートは削除しないこと！)'!H10</f>
        <v>○○○○</v>
      </c>
      <c r="M17" s="297"/>
      <c r="N17" s="297"/>
      <c r="O17" s="297"/>
      <c r="P17" s="297"/>
      <c r="Q17" s="297"/>
      <c r="R17" s="297"/>
      <c r="S17" s="297"/>
    </row>
    <row r="18" spans="1:19" s="201" customFormat="1" ht="19.95" customHeight="1" x14ac:dyDescent="0.2">
      <c r="A18" s="166"/>
      <c r="B18" s="207"/>
      <c r="C18" s="204"/>
      <c r="D18" s="204"/>
      <c r="E18" s="205"/>
      <c r="F18" s="205"/>
      <c r="G18" s="205"/>
      <c r="H18" s="205"/>
      <c r="I18" s="205"/>
      <c r="J18" s="205"/>
      <c r="K18" s="205"/>
      <c r="L18" s="205"/>
      <c r="M18" s="205"/>
      <c r="N18" s="205"/>
      <c r="O18" s="205"/>
      <c r="P18" s="205"/>
      <c r="Q18" s="205"/>
      <c r="R18" s="205"/>
      <c r="S18" s="205"/>
    </row>
    <row r="19" spans="1:19" s="201" customFormat="1" ht="19.95" customHeight="1" x14ac:dyDescent="0.2">
      <c r="B19" s="205"/>
      <c r="C19" s="205"/>
      <c r="D19" s="205"/>
      <c r="E19" s="205"/>
      <c r="F19" s="205"/>
      <c r="G19" s="205"/>
      <c r="H19" s="205"/>
      <c r="I19" s="205"/>
      <c r="J19" s="205"/>
      <c r="K19" s="205"/>
      <c r="L19" s="205"/>
      <c r="M19" s="205"/>
      <c r="N19" s="205"/>
      <c r="O19" s="205"/>
      <c r="P19" s="205"/>
      <c r="Q19" s="205"/>
      <c r="R19" s="205"/>
      <c r="S19" s="205"/>
    </row>
    <row r="20" spans="1:19" s="201" customFormat="1" ht="19.95" customHeight="1" x14ac:dyDescent="0.2">
      <c r="B20" s="205"/>
      <c r="C20" s="319"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令和7年7月23日付けで公告のありました第25-01135-0008号 東分庁舎屋上防水等改修工事について入札いたしますので、下記の書類を添えて技術提案書を提出します。　　　
　なお、提出する書類の内容は、事実と相違ないことを誓約します。</v>
      </c>
      <c r="D20" s="319"/>
      <c r="E20" s="319"/>
      <c r="F20" s="319"/>
      <c r="G20" s="319"/>
      <c r="H20" s="319"/>
      <c r="I20" s="319"/>
      <c r="J20" s="319"/>
      <c r="K20" s="319"/>
      <c r="L20" s="319"/>
      <c r="M20" s="319"/>
      <c r="N20" s="319"/>
      <c r="O20" s="319"/>
      <c r="P20" s="319"/>
      <c r="Q20" s="319"/>
      <c r="R20" s="319"/>
      <c r="S20" s="319"/>
    </row>
    <row r="21" spans="1:19" s="201" customFormat="1" ht="19.95" customHeight="1" x14ac:dyDescent="0.2">
      <c r="B21" s="205"/>
      <c r="C21" s="319"/>
      <c r="D21" s="319"/>
      <c r="E21" s="319"/>
      <c r="F21" s="319"/>
      <c r="G21" s="319"/>
      <c r="H21" s="319"/>
      <c r="I21" s="319"/>
      <c r="J21" s="319"/>
      <c r="K21" s="319"/>
      <c r="L21" s="319"/>
      <c r="M21" s="319"/>
      <c r="N21" s="319"/>
      <c r="O21" s="319"/>
      <c r="P21" s="319"/>
      <c r="Q21" s="319"/>
      <c r="R21" s="319"/>
      <c r="S21" s="319"/>
    </row>
    <row r="22" spans="1:19" s="201" customFormat="1" ht="19.95" customHeight="1" x14ac:dyDescent="0.2">
      <c r="B22" s="205"/>
      <c r="C22" s="319"/>
      <c r="D22" s="319"/>
      <c r="E22" s="319"/>
      <c r="F22" s="319"/>
      <c r="G22" s="319"/>
      <c r="H22" s="319"/>
      <c r="I22" s="319"/>
      <c r="J22" s="319"/>
      <c r="K22" s="319"/>
      <c r="L22" s="319"/>
      <c r="M22" s="319"/>
      <c r="N22" s="319"/>
      <c r="O22" s="319"/>
      <c r="P22" s="319"/>
      <c r="Q22" s="319"/>
      <c r="R22" s="319"/>
      <c r="S22" s="319"/>
    </row>
    <row r="23" spans="1:19" s="201" customFormat="1" ht="19.95" customHeight="1" x14ac:dyDescent="0.2">
      <c r="B23" s="205"/>
      <c r="C23" s="319"/>
      <c r="D23" s="319"/>
      <c r="E23" s="319"/>
      <c r="F23" s="319"/>
      <c r="G23" s="319"/>
      <c r="H23" s="319"/>
      <c r="I23" s="319"/>
      <c r="J23" s="319"/>
      <c r="K23" s="319"/>
      <c r="L23" s="319"/>
      <c r="M23" s="319"/>
      <c r="N23" s="319"/>
      <c r="O23" s="319"/>
      <c r="P23" s="319"/>
      <c r="Q23" s="319"/>
      <c r="R23" s="319"/>
      <c r="S23" s="319"/>
    </row>
    <row r="24" spans="1:19" s="201" customFormat="1" ht="19.95" customHeight="1" x14ac:dyDescent="0.2">
      <c r="B24" s="205"/>
      <c r="C24" s="319"/>
      <c r="D24" s="319"/>
      <c r="E24" s="319"/>
      <c r="F24" s="319"/>
      <c r="G24" s="319"/>
      <c r="H24" s="319"/>
      <c r="I24" s="319"/>
      <c r="J24" s="319"/>
      <c r="K24" s="319"/>
      <c r="L24" s="319"/>
      <c r="M24" s="319"/>
      <c r="N24" s="319"/>
      <c r="O24" s="319"/>
      <c r="P24" s="319"/>
      <c r="Q24" s="319"/>
      <c r="R24" s="319"/>
      <c r="S24" s="319"/>
    </row>
    <row r="25" spans="1:19" s="201" customFormat="1" ht="19.95" customHeight="1" x14ac:dyDescent="0.2">
      <c r="B25" s="205"/>
      <c r="C25" s="205"/>
      <c r="D25" s="205"/>
      <c r="E25" s="205"/>
      <c r="F25" s="205"/>
      <c r="G25" s="205"/>
      <c r="H25" s="205"/>
      <c r="I25" s="205"/>
      <c r="J25" s="205"/>
      <c r="K25" s="205"/>
      <c r="L25" s="205"/>
      <c r="M25" s="205"/>
      <c r="N25" s="205"/>
      <c r="O25" s="205"/>
      <c r="P25" s="205"/>
      <c r="Q25" s="205"/>
      <c r="R25" s="205"/>
      <c r="S25" s="205"/>
    </row>
    <row r="26" spans="1:19" s="203" customFormat="1" ht="22.95" customHeight="1" x14ac:dyDescent="0.2">
      <c r="B26" s="205"/>
      <c r="C26" s="208" t="s">
        <v>371</v>
      </c>
      <c r="D26" s="208"/>
      <c r="E26" s="208"/>
      <c r="F26" s="208"/>
      <c r="G26" s="212"/>
      <c r="H26" s="212"/>
      <c r="I26" s="212"/>
      <c r="J26" s="212"/>
      <c r="K26" s="212"/>
      <c r="L26" s="212"/>
      <c r="M26" s="212"/>
      <c r="N26" s="212"/>
      <c r="O26" s="212"/>
      <c r="P26" s="212"/>
      <c r="Q26" s="212"/>
      <c r="R26" s="212"/>
      <c r="S26" s="212"/>
    </row>
    <row r="27" spans="1:19" s="203" customFormat="1" ht="22.95" customHeight="1" x14ac:dyDescent="0.2">
      <c r="B27" s="205"/>
      <c r="C27" s="208" t="s">
        <v>372</v>
      </c>
      <c r="D27" s="208"/>
      <c r="E27" s="208"/>
      <c r="F27" s="208"/>
      <c r="G27" s="212"/>
      <c r="H27" s="212"/>
      <c r="I27" s="212"/>
      <c r="J27" s="212"/>
      <c r="K27" s="212"/>
      <c r="L27" s="212"/>
      <c r="M27" s="212"/>
      <c r="N27" s="212"/>
      <c r="O27" s="212"/>
      <c r="P27" s="212"/>
      <c r="Q27" s="212"/>
      <c r="R27" s="212"/>
      <c r="S27" s="212"/>
    </row>
    <row r="28" spans="1:19" s="203" customFormat="1" ht="22.95" customHeight="1" x14ac:dyDescent="0.2">
      <c r="B28" s="205"/>
      <c r="C28" s="204" t="s">
        <v>374</v>
      </c>
      <c r="D28" s="204"/>
      <c r="E28" s="204"/>
      <c r="F28" s="204"/>
      <c r="G28" s="205"/>
      <c r="H28" s="205"/>
      <c r="I28" s="205"/>
      <c r="J28" s="205"/>
      <c r="K28" s="205"/>
      <c r="L28" s="205"/>
      <c r="M28" s="205"/>
      <c r="N28" s="205"/>
      <c r="O28" s="205"/>
      <c r="P28" s="205"/>
      <c r="Q28" s="205"/>
      <c r="R28" s="205"/>
      <c r="S28" s="205"/>
    </row>
    <row r="29" spans="1:19" s="203" customFormat="1" ht="22.95" customHeight="1" x14ac:dyDescent="0.2">
      <c r="B29" s="205"/>
      <c r="C29" s="208"/>
      <c r="D29" s="208"/>
      <c r="E29" s="208"/>
      <c r="F29" s="208"/>
      <c r="G29" s="205"/>
      <c r="H29" s="205"/>
      <c r="I29" s="205"/>
      <c r="J29" s="205"/>
      <c r="K29" s="205"/>
      <c r="L29" s="205"/>
      <c r="M29" s="205"/>
      <c r="N29" s="205"/>
      <c r="O29" s="205"/>
      <c r="P29" s="205"/>
      <c r="Q29" s="205"/>
      <c r="R29" s="205"/>
      <c r="S29" s="205"/>
    </row>
    <row r="30" spans="1:19" s="203" customFormat="1" ht="22.95" customHeight="1" x14ac:dyDescent="0.2">
      <c r="B30" s="205"/>
      <c r="C30" s="204" t="s">
        <v>241</v>
      </c>
      <c r="D30" s="204"/>
      <c r="E30" s="204"/>
      <c r="F30" s="204"/>
      <c r="G30" s="205"/>
      <c r="H30" s="205"/>
      <c r="I30" s="205"/>
      <c r="J30" s="205"/>
      <c r="K30" s="205"/>
      <c r="L30" s="205"/>
      <c r="M30" s="205"/>
      <c r="N30" s="205"/>
      <c r="O30" s="205"/>
      <c r="P30" s="205"/>
      <c r="Q30" s="205"/>
      <c r="R30" s="205"/>
      <c r="S30" s="205"/>
    </row>
    <row r="31" spans="1:19" s="203" customFormat="1" ht="22.95" customHeight="1" x14ac:dyDescent="0.2">
      <c r="B31" s="205"/>
      <c r="C31" s="204" t="s">
        <v>373</v>
      </c>
      <c r="D31" s="204"/>
      <c r="E31" s="204"/>
      <c r="F31" s="204"/>
      <c r="G31" s="205"/>
      <c r="H31" s="205"/>
      <c r="I31" s="205"/>
      <c r="J31" s="205"/>
      <c r="K31" s="205"/>
      <c r="L31" s="205"/>
      <c r="M31" s="205"/>
      <c r="N31" s="205"/>
      <c r="O31" s="205"/>
      <c r="P31" s="205"/>
      <c r="Q31" s="205"/>
      <c r="R31" s="205"/>
      <c r="S31" s="205"/>
    </row>
    <row r="32" spans="1:19" s="203" customFormat="1" ht="22.95" customHeight="1" x14ac:dyDescent="0.2">
      <c r="B32" s="205"/>
      <c r="C32" s="204" t="s">
        <v>375</v>
      </c>
      <c r="D32" s="204"/>
      <c r="E32" s="204"/>
      <c r="F32" s="204"/>
      <c r="G32" s="205"/>
      <c r="H32" s="205"/>
      <c r="I32" s="205"/>
      <c r="J32" s="205"/>
      <c r="K32" s="205"/>
      <c r="L32" s="205"/>
      <c r="M32" s="205"/>
      <c r="N32" s="205"/>
      <c r="O32" s="205"/>
      <c r="P32" s="205"/>
      <c r="Q32" s="205"/>
      <c r="R32" s="205"/>
      <c r="S32" s="205"/>
    </row>
    <row r="33" spans="1:22" s="203" customFormat="1" ht="22.95" customHeight="1" x14ac:dyDescent="0.2">
      <c r="B33" s="205"/>
      <c r="C33" s="204"/>
      <c r="D33" s="204"/>
      <c r="E33" s="204"/>
      <c r="F33" s="204"/>
      <c r="G33" s="205"/>
      <c r="H33" s="205"/>
      <c r="I33" s="205"/>
      <c r="J33" s="205"/>
      <c r="K33" s="205"/>
      <c r="L33" s="205"/>
      <c r="M33" s="205"/>
      <c r="N33" s="205"/>
      <c r="O33" s="205"/>
      <c r="P33" s="205"/>
      <c r="Q33" s="205"/>
      <c r="R33" s="205"/>
      <c r="S33" s="205"/>
    </row>
    <row r="34" spans="1:22" s="203" customFormat="1" ht="22.95" customHeight="1" x14ac:dyDescent="0.2">
      <c r="B34" s="205"/>
      <c r="C34" s="204" t="s">
        <v>242</v>
      </c>
      <c r="D34" s="204"/>
      <c r="E34" s="204"/>
      <c r="F34" s="204"/>
      <c r="G34" s="205"/>
      <c r="H34" s="205"/>
      <c r="I34" s="205"/>
      <c r="J34" s="205"/>
      <c r="K34" s="205"/>
      <c r="L34" s="205"/>
      <c r="M34" s="205"/>
      <c r="N34" s="205"/>
      <c r="O34" s="205"/>
      <c r="P34" s="205"/>
      <c r="Q34" s="205"/>
      <c r="R34" s="205"/>
      <c r="S34" s="205"/>
    </row>
    <row r="35" spans="1:22" s="203" customFormat="1" ht="22.95" customHeight="1" x14ac:dyDescent="0.2">
      <c r="B35" s="205"/>
      <c r="C35" s="204" t="s">
        <v>7</v>
      </c>
      <c r="D35" s="204"/>
      <c r="E35" s="204"/>
      <c r="F35" s="204"/>
      <c r="G35" s="205"/>
      <c r="H35" s="205"/>
      <c r="I35" s="205"/>
      <c r="J35" s="205"/>
      <c r="K35" s="205"/>
      <c r="L35" s="205"/>
      <c r="M35" s="205"/>
      <c r="N35" s="205"/>
      <c r="O35" s="205"/>
      <c r="P35" s="205"/>
      <c r="Q35" s="205"/>
      <c r="R35" s="205"/>
      <c r="S35" s="205"/>
    </row>
    <row r="36" spans="1:22" s="203" customFormat="1" ht="22.95" customHeight="1" x14ac:dyDescent="0.2">
      <c r="B36" s="205"/>
      <c r="C36" s="204" t="s">
        <v>8</v>
      </c>
      <c r="D36" s="204"/>
      <c r="E36" s="204"/>
      <c r="F36" s="204"/>
      <c r="G36" s="205"/>
      <c r="H36" s="205"/>
      <c r="I36" s="205"/>
      <c r="J36" s="205"/>
      <c r="K36" s="205"/>
      <c r="L36" s="205"/>
      <c r="M36" s="205"/>
      <c r="N36" s="205"/>
      <c r="O36" s="205"/>
      <c r="P36" s="205"/>
      <c r="Q36" s="205"/>
      <c r="R36" s="205"/>
      <c r="S36" s="205"/>
    </row>
    <row r="37" spans="1:22" s="203" customFormat="1" ht="22.95" customHeight="1" x14ac:dyDescent="0.2">
      <c r="B37" s="205"/>
      <c r="C37" s="204" t="s">
        <v>9</v>
      </c>
      <c r="D37" s="204"/>
      <c r="E37" s="204"/>
      <c r="F37" s="204"/>
      <c r="G37" s="205"/>
      <c r="H37" s="205"/>
      <c r="I37" s="205"/>
      <c r="J37" s="205"/>
      <c r="K37" s="205"/>
      <c r="L37" s="205"/>
      <c r="M37" s="205"/>
      <c r="N37" s="205"/>
      <c r="O37" s="205"/>
      <c r="P37" s="205"/>
      <c r="Q37" s="205"/>
      <c r="R37" s="205"/>
      <c r="S37" s="205"/>
    </row>
    <row r="38" spans="1:22" s="203" customFormat="1" ht="22.95" customHeight="1" x14ac:dyDescent="0.2">
      <c r="B38" s="205"/>
      <c r="C38" s="204" t="s">
        <v>10</v>
      </c>
      <c r="D38" s="204"/>
      <c r="E38" s="204"/>
      <c r="F38" s="204"/>
      <c r="G38" s="205"/>
      <c r="H38" s="205"/>
      <c r="I38" s="205"/>
      <c r="J38" s="205"/>
      <c r="K38" s="205"/>
      <c r="L38" s="205"/>
      <c r="M38" s="205"/>
      <c r="N38" s="205"/>
      <c r="O38" s="205"/>
      <c r="P38" s="205"/>
      <c r="Q38" s="205"/>
      <c r="R38" s="205"/>
      <c r="S38" s="205"/>
    </row>
    <row r="39" spans="1:22" s="203" customFormat="1" ht="22.95" customHeight="1" x14ac:dyDescent="0.2">
      <c r="B39" s="205"/>
      <c r="C39" s="204"/>
      <c r="D39" s="204"/>
      <c r="E39" s="204"/>
      <c r="F39" s="204"/>
      <c r="G39" s="205"/>
      <c r="H39" s="205"/>
      <c r="I39" s="205"/>
      <c r="J39" s="205"/>
      <c r="K39" s="205"/>
      <c r="L39" s="205"/>
      <c r="M39" s="205"/>
      <c r="N39" s="205"/>
      <c r="O39" s="205"/>
      <c r="P39" s="205"/>
      <c r="Q39" s="205"/>
      <c r="R39" s="205"/>
      <c r="S39" s="205"/>
    </row>
    <row r="40" spans="1:22" s="203" customFormat="1" ht="22.95" customHeight="1" x14ac:dyDescent="0.2">
      <c r="B40" s="205"/>
      <c r="C40" s="204" t="s">
        <v>243</v>
      </c>
      <c r="D40" s="204"/>
      <c r="E40" s="204"/>
      <c r="F40" s="204"/>
      <c r="G40" s="205"/>
      <c r="H40" s="205"/>
      <c r="I40" s="205"/>
      <c r="J40" s="205"/>
      <c r="K40" s="205"/>
      <c r="L40" s="205"/>
      <c r="M40" s="205"/>
      <c r="N40" s="205"/>
      <c r="O40" s="205"/>
      <c r="P40" s="205"/>
      <c r="Q40" s="205"/>
      <c r="R40" s="205"/>
      <c r="S40" s="205"/>
    </row>
    <row r="41" spans="1:22" s="203" customFormat="1" ht="22.95" customHeight="1" x14ac:dyDescent="0.2">
      <c r="B41" s="205"/>
      <c r="C41" s="204" t="s">
        <v>7</v>
      </c>
      <c r="D41" s="204"/>
      <c r="E41" s="204"/>
      <c r="F41" s="204"/>
      <c r="G41" s="205"/>
      <c r="H41" s="205"/>
      <c r="I41" s="205"/>
      <c r="J41" s="205"/>
      <c r="K41" s="205"/>
      <c r="L41" s="205"/>
      <c r="M41" s="205"/>
      <c r="N41" s="205"/>
      <c r="O41" s="205"/>
      <c r="P41" s="205"/>
      <c r="Q41" s="205"/>
      <c r="R41" s="205"/>
      <c r="S41" s="205"/>
    </row>
    <row r="42" spans="1:22" s="203" customFormat="1" ht="22.95" customHeight="1" x14ac:dyDescent="0.2">
      <c r="B42" s="205"/>
      <c r="C42" s="204" t="s">
        <v>8</v>
      </c>
      <c r="D42" s="204"/>
      <c r="E42" s="204"/>
      <c r="F42" s="204"/>
      <c r="G42" s="205"/>
      <c r="H42" s="205"/>
      <c r="I42" s="205"/>
      <c r="J42" s="205"/>
      <c r="K42" s="205"/>
      <c r="L42" s="205"/>
      <c r="M42" s="205"/>
      <c r="N42" s="205"/>
      <c r="O42" s="205"/>
      <c r="P42" s="205"/>
      <c r="Q42" s="205"/>
      <c r="R42" s="205"/>
      <c r="S42" s="205"/>
    </row>
    <row r="43" spans="1:22" s="203" customFormat="1" ht="22.95" customHeight="1" x14ac:dyDescent="0.2">
      <c r="B43" s="205"/>
      <c r="C43" s="204" t="s">
        <v>9</v>
      </c>
      <c r="D43" s="204"/>
      <c r="E43" s="204"/>
      <c r="F43" s="204"/>
      <c r="G43" s="205"/>
      <c r="H43" s="205"/>
      <c r="I43" s="205"/>
      <c r="J43" s="205"/>
      <c r="K43" s="205"/>
      <c r="L43" s="205"/>
      <c r="M43" s="205"/>
      <c r="N43" s="205"/>
      <c r="O43" s="205"/>
      <c r="P43" s="205"/>
      <c r="Q43" s="205"/>
      <c r="R43" s="205"/>
      <c r="S43" s="205"/>
    </row>
    <row r="44" spans="1:22" s="203" customFormat="1" ht="22.95" customHeight="1" x14ac:dyDescent="0.2">
      <c r="B44" s="205"/>
      <c r="C44" s="204" t="s">
        <v>10</v>
      </c>
      <c r="D44" s="204"/>
      <c r="E44" s="204"/>
      <c r="F44" s="204"/>
      <c r="G44" s="205"/>
      <c r="H44" s="205"/>
      <c r="I44" s="205"/>
      <c r="J44" s="205"/>
      <c r="K44" s="205"/>
      <c r="L44" s="205"/>
      <c r="M44" s="205"/>
      <c r="N44" s="205"/>
      <c r="O44" s="205"/>
      <c r="P44" s="205"/>
      <c r="Q44" s="205"/>
      <c r="R44" s="205"/>
      <c r="S44" s="205"/>
    </row>
    <row r="45" spans="1:22" s="203" customFormat="1" ht="22.95" customHeight="1" x14ac:dyDescent="0.2">
      <c r="B45" s="205"/>
      <c r="C45" s="204" t="s">
        <v>11</v>
      </c>
      <c r="D45" s="204"/>
      <c r="E45" s="204"/>
      <c r="F45" s="204"/>
      <c r="G45" s="205"/>
      <c r="H45" s="205"/>
      <c r="I45" s="205"/>
      <c r="J45" s="205"/>
      <c r="K45" s="205"/>
      <c r="L45" s="205"/>
      <c r="M45" s="205"/>
      <c r="N45" s="205"/>
      <c r="O45" s="205"/>
      <c r="P45" s="205"/>
      <c r="Q45" s="205"/>
      <c r="R45" s="205"/>
      <c r="S45" s="205"/>
    </row>
    <row r="46" spans="1:22" s="201" customFormat="1" ht="19.95" customHeight="1" thickBot="1" x14ac:dyDescent="0.25">
      <c r="A46" s="202"/>
      <c r="B46" s="213"/>
      <c r="C46" s="213"/>
      <c r="D46" s="214"/>
      <c r="E46" s="214"/>
      <c r="F46" s="214"/>
      <c r="G46" s="214"/>
      <c r="H46" s="214"/>
      <c r="I46" s="214"/>
      <c r="J46" s="214"/>
      <c r="K46" s="214"/>
      <c r="L46" s="214"/>
      <c r="M46" s="214"/>
      <c r="N46" s="214"/>
      <c r="O46" s="214"/>
      <c r="P46" s="214"/>
      <c r="Q46" s="205"/>
      <c r="R46" s="205"/>
      <c r="S46" s="205"/>
    </row>
    <row r="47" spans="1:22" ht="30" customHeight="1" thickTop="1" thickBot="1" x14ac:dyDescent="0.25">
      <c r="A47" s="12"/>
      <c r="B47" s="35"/>
      <c r="C47" s="35"/>
      <c r="D47" s="36"/>
      <c r="E47" s="36"/>
      <c r="F47" s="36"/>
      <c r="G47" s="36"/>
      <c r="H47" s="36"/>
      <c r="I47" s="36"/>
      <c r="J47" s="36"/>
      <c r="K47" s="36"/>
      <c r="L47" s="36"/>
      <c r="M47" s="36"/>
      <c r="N47" s="36"/>
      <c r="O47" s="36"/>
      <c r="P47" s="36"/>
      <c r="Q47" s="197"/>
      <c r="R47" s="197"/>
      <c r="S47" s="216" t="str">
        <f>'1.基本データ(このシートは削除しないこと！)'!H1</f>
        <v>令和７年度様式（令和７年４月１日以降の入札公告から適用）</v>
      </c>
      <c r="T47" s="399" t="s">
        <v>2</v>
      </c>
      <c r="U47" s="400"/>
      <c r="V47" s="37">
        <f>SUM(F52:F102)</f>
        <v>0</v>
      </c>
    </row>
    <row r="48" spans="1:22" ht="14.25" customHeight="1" thickTop="1" x14ac:dyDescent="0.2">
      <c r="A48" s="12"/>
      <c r="B48" s="405" t="s">
        <v>244</v>
      </c>
      <c r="C48" s="405"/>
      <c r="D48" s="405"/>
      <c r="E48" s="405"/>
      <c r="F48" s="405"/>
      <c r="G48" s="405"/>
      <c r="H48" s="405"/>
      <c r="I48" s="162"/>
      <c r="J48" s="162"/>
      <c r="K48" s="162"/>
      <c r="L48" s="162"/>
      <c r="M48" s="162"/>
      <c r="N48" s="162"/>
      <c r="O48" s="162"/>
      <c r="P48" s="162"/>
      <c r="Q48" s="38"/>
      <c r="S48" s="39" t="s">
        <v>238</v>
      </c>
    </row>
    <row r="49" spans="1:42" ht="16.5" customHeight="1" x14ac:dyDescent="0.2">
      <c r="A49" s="12"/>
      <c r="B49" s="401" t="s">
        <v>139</v>
      </c>
      <c r="C49" s="401"/>
      <c r="D49" s="401"/>
      <c r="E49" s="402" t="str">
        <f>'1.基本データ(このシートは削除しないこと！)'!H14&amp;'1.基本データ(このシートは削除しないこと！)'!H15</f>
        <v>第25-01135-0008号 東分庁舎屋上防水等改修工事</v>
      </c>
      <c r="F49" s="402"/>
      <c r="G49" s="402"/>
      <c r="H49" s="402"/>
      <c r="I49" s="402"/>
      <c r="J49" s="402"/>
      <c r="K49" s="402"/>
      <c r="L49" s="402"/>
      <c r="M49" s="402"/>
      <c r="N49" s="402"/>
      <c r="O49" s="402"/>
      <c r="P49" s="402"/>
      <c r="Q49" s="402"/>
      <c r="R49" s="402"/>
    </row>
    <row r="50" spans="1:42" ht="16.5" customHeight="1" thickBot="1" x14ac:dyDescent="0.25">
      <c r="A50" s="12"/>
      <c r="B50" s="40"/>
      <c r="C50" s="40"/>
      <c r="D50" s="41" t="s">
        <v>140</v>
      </c>
      <c r="E50" s="42" t="str">
        <f>IF('1.基本データ(このシートは削除しないこと！)'!H11=0,'1.基本データ(このシートは削除しないこと！)'!H7,'1.基本データ(このシートは削除しないこと！)'!H11)</f>
        <v>○○・△△特定建設工事共同企業体</v>
      </c>
      <c r="F50" s="12"/>
      <c r="G50" s="12"/>
      <c r="H50" s="12"/>
      <c r="I50" s="12"/>
      <c r="J50" s="12"/>
      <c r="K50" s="12"/>
      <c r="L50" s="12"/>
      <c r="M50" s="12"/>
      <c r="N50" s="12"/>
      <c r="O50" s="12"/>
      <c r="P50" s="12"/>
      <c r="Q50" s="12"/>
      <c r="R50" s="12"/>
      <c r="S50" s="12"/>
    </row>
    <row r="51" spans="1:42" ht="22.5" customHeight="1" thickBot="1" x14ac:dyDescent="0.25">
      <c r="A51" s="12"/>
      <c r="B51" s="403" t="s">
        <v>342</v>
      </c>
      <c r="C51" s="403"/>
      <c r="D51" s="403"/>
      <c r="E51" s="43" t="s">
        <v>169</v>
      </c>
      <c r="F51" s="44" t="s">
        <v>1</v>
      </c>
      <c r="G51" s="330" t="s">
        <v>323</v>
      </c>
      <c r="H51" s="331"/>
      <c r="I51" s="331"/>
      <c r="J51" s="331"/>
      <c r="K51" s="331"/>
      <c r="L51" s="331"/>
      <c r="M51" s="331"/>
      <c r="N51" s="331"/>
      <c r="O51" s="331"/>
      <c r="P51" s="331"/>
      <c r="Q51" s="331"/>
      <c r="R51" s="331"/>
      <c r="S51" s="332"/>
      <c r="V51" s="45" t="s">
        <v>136</v>
      </c>
      <c r="AB51" s="46"/>
      <c r="AC51" s="46"/>
      <c r="AD51" s="47" t="s">
        <v>171</v>
      </c>
      <c r="AE51" s="160" t="s">
        <v>172</v>
      </c>
      <c r="AG51" s="46"/>
      <c r="AH51" s="46"/>
      <c r="AP51" s="149" t="s">
        <v>173</v>
      </c>
    </row>
    <row r="52" spans="1:42" ht="34.950000000000003" customHeight="1" thickBot="1" x14ac:dyDescent="0.25">
      <c r="A52" s="12"/>
      <c r="B52" s="412" t="s">
        <v>220</v>
      </c>
      <c r="C52" s="406" t="s">
        <v>354</v>
      </c>
      <c r="D52" s="407"/>
      <c r="E52" s="410">
        <f>AD52</f>
        <v>2</v>
      </c>
      <c r="F52" s="404" t="str">
        <f>IF(Y52=0,"-",AP52)</f>
        <v>-</v>
      </c>
      <c r="G52" s="327" t="s">
        <v>138</v>
      </c>
      <c r="H52" s="328"/>
      <c r="I52" s="392"/>
      <c r="J52" s="393"/>
      <c r="K52" s="393"/>
      <c r="L52" s="393"/>
      <c r="M52" s="393"/>
      <c r="N52" s="393"/>
      <c r="O52" s="393"/>
      <c r="P52" s="393"/>
      <c r="Q52" s="394"/>
      <c r="R52" s="48" t="s">
        <v>256</v>
      </c>
      <c r="S52" s="389"/>
      <c r="V52" s="1">
        <f>IF(I52="",0,1)</f>
        <v>0</v>
      </c>
      <c r="W52" s="1">
        <f>IF(S52="",0,1)</f>
        <v>0</v>
      </c>
      <c r="X52" s="49"/>
      <c r="Y52" s="19">
        <f>SUM(V52:X54)</f>
        <v>0</v>
      </c>
      <c r="Z52" s="20" t="s">
        <v>212</v>
      </c>
      <c r="AA52" s="50" t="s">
        <v>20</v>
      </c>
      <c r="AB52" s="51"/>
      <c r="AC52" s="52">
        <f>IF($I$53=AA52,1,0)</f>
        <v>0</v>
      </c>
      <c r="AD52" s="31">
        <v>2</v>
      </c>
      <c r="AE52" s="53">
        <f>AC52*AD52</f>
        <v>0</v>
      </c>
      <c r="AG52" s="54"/>
      <c r="AH52" s="54"/>
      <c r="AP52" s="150">
        <f>IF(Y52=4,MAX(AE52:AE54),0)</f>
        <v>0</v>
      </c>
    </row>
    <row r="53" spans="1:42" ht="34.950000000000003" customHeight="1" thickBot="1" x14ac:dyDescent="0.25">
      <c r="A53" s="12"/>
      <c r="B53" s="413"/>
      <c r="C53" s="408"/>
      <c r="D53" s="409"/>
      <c r="E53" s="411"/>
      <c r="F53" s="404"/>
      <c r="G53" s="341" t="s">
        <v>345</v>
      </c>
      <c r="H53" s="360"/>
      <c r="I53" s="392"/>
      <c r="J53" s="393"/>
      <c r="K53" s="393"/>
      <c r="L53" s="393"/>
      <c r="M53" s="393"/>
      <c r="N53" s="393"/>
      <c r="O53" s="393"/>
      <c r="P53" s="393"/>
      <c r="Q53" s="394"/>
      <c r="R53" s="350" t="s">
        <v>257</v>
      </c>
      <c r="S53" s="390"/>
      <c r="V53" s="1">
        <f>IF(I53="",0,1)</f>
        <v>0</v>
      </c>
      <c r="W53" s="55"/>
      <c r="Z53" s="20"/>
      <c r="AA53" s="50" t="s">
        <v>26</v>
      </c>
      <c r="AB53" s="51"/>
      <c r="AC53" s="52">
        <f>IF($I$53=AA53,1,0)</f>
        <v>0</v>
      </c>
      <c r="AD53" s="31">
        <v>1.5</v>
      </c>
      <c r="AE53" s="53">
        <f>AC53*AD53</f>
        <v>0</v>
      </c>
      <c r="AG53" s="54"/>
      <c r="AH53" s="54"/>
      <c r="AP53" s="56"/>
    </row>
    <row r="54" spans="1:42" ht="34.950000000000003" customHeight="1" thickBot="1" x14ac:dyDescent="0.25">
      <c r="A54" s="12"/>
      <c r="B54" s="413"/>
      <c r="C54" s="408"/>
      <c r="D54" s="409"/>
      <c r="E54" s="411"/>
      <c r="F54" s="404"/>
      <c r="G54" s="325" t="s">
        <v>266</v>
      </c>
      <c r="H54" s="326"/>
      <c r="I54" s="315"/>
      <c r="J54" s="316"/>
      <c r="K54" s="317" t="s">
        <v>247</v>
      </c>
      <c r="L54" s="317"/>
      <c r="M54" s="371" t="s">
        <v>276</v>
      </c>
      <c r="N54" s="372"/>
      <c r="O54" s="372"/>
      <c r="P54" s="243" t="s">
        <v>199</v>
      </c>
      <c r="Q54" s="23" t="s">
        <v>277</v>
      </c>
      <c r="R54" s="351"/>
      <c r="S54" s="391"/>
      <c r="V54" s="1">
        <f>IF(I54="",0,1)</f>
        <v>0</v>
      </c>
      <c r="W54" s="57"/>
      <c r="AA54" s="50" t="s">
        <v>29</v>
      </c>
      <c r="AB54" s="51"/>
      <c r="AC54" s="52">
        <f>IF($I$53=AA54,1,0)</f>
        <v>0</v>
      </c>
      <c r="AD54" s="31">
        <v>0.5</v>
      </c>
      <c r="AE54" s="53">
        <f>AC54*AD54</f>
        <v>0</v>
      </c>
      <c r="AG54" s="54"/>
      <c r="AH54" s="54"/>
      <c r="AJ54" s="14" t="s">
        <v>305</v>
      </c>
      <c r="AK54" s="14" t="s">
        <v>306</v>
      </c>
    </row>
    <row r="55" spans="1:42" ht="34.950000000000003" customHeight="1" thickBot="1" x14ac:dyDescent="0.25">
      <c r="A55" s="12"/>
      <c r="B55" s="414"/>
      <c r="C55" s="426" t="s">
        <v>353</v>
      </c>
      <c r="D55" s="424"/>
      <c r="E55" s="376">
        <f>AD56</f>
        <v>1.5</v>
      </c>
      <c r="F55" s="379" t="str">
        <f>IF(Y55=0,"-",AP56)</f>
        <v>-</v>
      </c>
      <c r="G55" s="303" t="s">
        <v>337</v>
      </c>
      <c r="H55" s="329"/>
      <c r="I55" s="32" t="s">
        <v>248</v>
      </c>
      <c r="J55" s="200"/>
      <c r="K55" s="33" t="s">
        <v>250</v>
      </c>
      <c r="L55" s="373"/>
      <c r="M55" s="374"/>
      <c r="N55" s="33" t="s">
        <v>250</v>
      </c>
      <c r="O55" s="375"/>
      <c r="P55" s="374"/>
      <c r="Q55" s="58" t="s">
        <v>251</v>
      </c>
      <c r="R55" s="195" t="s">
        <v>348</v>
      </c>
      <c r="S55" s="140" t="s">
        <v>168</v>
      </c>
      <c r="V55" s="1">
        <f>IF(AND(J55&lt;&gt;"",L55&lt;&gt;"",O55&lt;&gt;""),1,0)</f>
        <v>0</v>
      </c>
      <c r="W55" s="1">
        <f>IF(S55='1.基本データ(このシートは削除しないこと！)'!D16,1,0)</f>
        <v>0</v>
      </c>
      <c r="X55" s="49"/>
      <c r="Y55" s="19">
        <f>SUM(V55:W56)</f>
        <v>0</v>
      </c>
      <c r="Z55" s="20" t="s">
        <v>237</v>
      </c>
      <c r="AB55" s="54"/>
      <c r="AC55" s="54"/>
      <c r="AD55" s="47" t="s">
        <v>164</v>
      </c>
      <c r="AE55" s="160" t="s">
        <v>147</v>
      </c>
      <c r="AG55" s="59" t="s">
        <v>302</v>
      </c>
      <c r="AH55" s="60"/>
      <c r="AI55" s="52">
        <f>IF($S$56=AG55,1,0)</f>
        <v>0</v>
      </c>
      <c r="AJ55" s="1">
        <v>1.25</v>
      </c>
      <c r="AK55" s="31">
        <f>AI55*AJ55</f>
        <v>0</v>
      </c>
      <c r="AP55" s="149" t="s">
        <v>167</v>
      </c>
    </row>
    <row r="56" spans="1:42" ht="34.950000000000003" customHeight="1" thickBot="1" x14ac:dyDescent="0.25">
      <c r="A56" s="12"/>
      <c r="B56" s="414"/>
      <c r="C56" s="338"/>
      <c r="D56" s="340"/>
      <c r="E56" s="377"/>
      <c r="F56" s="380"/>
      <c r="G56" s="382" t="s">
        <v>385</v>
      </c>
      <c r="H56" s="383"/>
      <c r="I56" s="354"/>
      <c r="J56" s="355"/>
      <c r="K56" s="355"/>
      <c r="L56" s="355"/>
      <c r="M56" s="355"/>
      <c r="N56" s="355"/>
      <c r="O56" s="356"/>
      <c r="P56" s="352" t="s">
        <v>346</v>
      </c>
      <c r="Q56" s="352"/>
      <c r="R56" s="353"/>
      <c r="S56" s="140" t="s">
        <v>168</v>
      </c>
      <c r="V56" s="1">
        <f>IF(AND(I56&lt;&gt;""),1,0)</f>
        <v>0</v>
      </c>
      <c r="W56" s="1">
        <f>IF(S56="-",0,1)</f>
        <v>0</v>
      </c>
      <c r="AA56" s="59" t="s">
        <v>304</v>
      </c>
      <c r="AB56" s="60"/>
      <c r="AC56" s="52">
        <f>IF($S$56=AA56,1,0)</f>
        <v>0</v>
      </c>
      <c r="AD56" s="1">
        <v>1.5</v>
      </c>
      <c r="AE56" s="31">
        <f>AC56*AD56</f>
        <v>0</v>
      </c>
      <c r="AG56" s="59" t="s">
        <v>135</v>
      </c>
      <c r="AH56" s="60"/>
      <c r="AI56" s="52">
        <f>IF($S$56=AG56,1,0)</f>
        <v>0</v>
      </c>
      <c r="AJ56" s="1">
        <v>1</v>
      </c>
      <c r="AK56" s="31">
        <f>AI56*AJ56</f>
        <v>0</v>
      </c>
      <c r="AP56" s="150">
        <f>IF(Y55=4,MAX(AE56,AK55,AK56),0)</f>
        <v>0</v>
      </c>
    </row>
    <row r="57" spans="1:42" ht="19.95" customHeight="1" thickBot="1" x14ac:dyDescent="0.25">
      <c r="A57" s="12"/>
      <c r="B57" s="414"/>
      <c r="C57" s="301"/>
      <c r="D57" s="425"/>
      <c r="E57" s="378"/>
      <c r="F57" s="381"/>
      <c r="G57" s="384" t="s">
        <v>322</v>
      </c>
      <c r="H57" s="385"/>
      <c r="I57" s="385"/>
      <c r="J57" s="385"/>
      <c r="K57" s="385"/>
      <c r="L57" s="385"/>
      <c r="M57" s="385"/>
      <c r="N57" s="385"/>
      <c r="O57" s="385"/>
      <c r="P57" s="385"/>
      <c r="Q57" s="385"/>
      <c r="R57" s="385"/>
      <c r="S57" s="386"/>
      <c r="V57" s="1"/>
      <c r="AA57" s="61"/>
      <c r="AB57" s="62"/>
      <c r="AC57" s="63"/>
      <c r="AD57" s="1"/>
      <c r="AE57" s="64"/>
      <c r="AG57" s="61"/>
      <c r="AH57" s="62"/>
      <c r="AI57" s="63"/>
      <c r="AK57" s="64"/>
      <c r="AP57" s="150"/>
    </row>
    <row r="58" spans="1:42" ht="34.950000000000003" customHeight="1" thickBot="1" x14ac:dyDescent="0.25">
      <c r="A58" s="12"/>
      <c r="B58" s="414"/>
      <c r="C58" s="303" t="s">
        <v>270</v>
      </c>
      <c r="D58" s="357"/>
      <c r="E58" s="65">
        <f>AD58</f>
        <v>0.25</v>
      </c>
      <c r="F58" s="66" t="str">
        <f t="shared" ref="F58:F60" si="0">AP58</f>
        <v>-</v>
      </c>
      <c r="G58" s="358" t="s">
        <v>384</v>
      </c>
      <c r="H58" s="359"/>
      <c r="I58" s="359"/>
      <c r="J58" s="359"/>
      <c r="K58" s="359"/>
      <c r="L58" s="359"/>
      <c r="M58" s="359"/>
      <c r="N58" s="359"/>
      <c r="O58" s="359"/>
      <c r="P58" s="359"/>
      <c r="Q58" s="359"/>
      <c r="R58" s="18" t="s">
        <v>347</v>
      </c>
      <c r="S58" s="141" t="s">
        <v>168</v>
      </c>
      <c r="V58" s="1">
        <f>IF(S58="有",1,0)</f>
        <v>0</v>
      </c>
      <c r="AD58" s="31">
        <v>0.25</v>
      </c>
      <c r="AE58" s="67"/>
      <c r="AG58" s="54"/>
      <c r="AH58" s="54"/>
      <c r="AP58" s="151" t="str">
        <f>IF(V58=1,AD58,"-")</f>
        <v>-</v>
      </c>
    </row>
    <row r="59" spans="1:42" ht="34.950000000000003" customHeight="1" thickBot="1" x14ac:dyDescent="0.25">
      <c r="A59" s="12"/>
      <c r="B59" s="414"/>
      <c r="C59" s="303" t="s">
        <v>363</v>
      </c>
      <c r="D59" s="357"/>
      <c r="E59" s="65">
        <f t="shared" ref="E59:E61" si="1">AD59</f>
        <v>0.25</v>
      </c>
      <c r="F59" s="66" t="str">
        <f>IF('1.基本データ(このシートは削除しないこと！)'!H16=1,AP59,"-")</f>
        <v>-</v>
      </c>
      <c r="G59" s="358" t="s">
        <v>366</v>
      </c>
      <c r="H59" s="359"/>
      <c r="I59" s="359"/>
      <c r="J59" s="359"/>
      <c r="K59" s="359"/>
      <c r="L59" s="359"/>
      <c r="M59" s="359"/>
      <c r="N59" s="359"/>
      <c r="O59" s="359"/>
      <c r="P59" s="359"/>
      <c r="Q59" s="359"/>
      <c r="R59" s="18" t="s">
        <v>365</v>
      </c>
      <c r="S59" s="141" t="s">
        <v>168</v>
      </c>
      <c r="V59" s="1">
        <f>IF(S59="有",1,0)</f>
        <v>0</v>
      </c>
      <c r="AD59" s="31">
        <v>0.25</v>
      </c>
      <c r="AE59" s="31">
        <f>IF('1.基本データ(このシートは削除しないこと！)'!H16=1,1,0)</f>
        <v>0</v>
      </c>
      <c r="AF59">
        <f>AD59*AE59</f>
        <v>0</v>
      </c>
      <c r="AG59" s="54"/>
      <c r="AH59" s="54"/>
      <c r="AP59" s="151" t="str">
        <f>IF(V59=1,AF59,"-")</f>
        <v>-</v>
      </c>
    </row>
    <row r="60" spans="1:42" ht="34.950000000000003" customHeight="1" thickBot="1" x14ac:dyDescent="0.25">
      <c r="A60" s="12"/>
      <c r="B60" s="414"/>
      <c r="C60" s="343" t="s">
        <v>271</v>
      </c>
      <c r="D60" s="367"/>
      <c r="E60" s="65">
        <f t="shared" si="1"/>
        <v>0.25</v>
      </c>
      <c r="F60" s="66" t="str">
        <f t="shared" si="0"/>
        <v>-</v>
      </c>
      <c r="G60" s="387" t="s">
        <v>258</v>
      </c>
      <c r="H60" s="388"/>
      <c r="I60" s="388"/>
      <c r="J60" s="388"/>
      <c r="K60" s="388"/>
      <c r="L60" s="388"/>
      <c r="M60" s="388"/>
      <c r="N60" s="388"/>
      <c r="O60" s="388"/>
      <c r="P60" s="388"/>
      <c r="Q60" s="388"/>
      <c r="R60" s="18" t="s">
        <v>347</v>
      </c>
      <c r="S60" s="142" t="s">
        <v>168</v>
      </c>
      <c r="V60" s="1">
        <f>IF(S60="有",1,0)</f>
        <v>0</v>
      </c>
      <c r="AD60" s="31">
        <v>0.25</v>
      </c>
      <c r="AE60" s="67"/>
      <c r="AG60" s="54"/>
      <c r="AH60" s="54"/>
      <c r="AP60" s="151" t="str">
        <f t="shared" ref="AP60" si="2">IF(V60=1,AD60,"-")</f>
        <v>-</v>
      </c>
    </row>
    <row r="61" spans="1:42" ht="34.950000000000003" customHeight="1" thickBot="1" x14ac:dyDescent="0.25">
      <c r="A61" s="12"/>
      <c r="B61" s="414"/>
      <c r="C61" s="303" t="s">
        <v>364</v>
      </c>
      <c r="D61" s="357"/>
      <c r="E61" s="65">
        <f t="shared" si="1"/>
        <v>0.25</v>
      </c>
      <c r="F61" s="66" t="str">
        <f>IF('1.基本データ(このシートは削除しないこと！)'!H16=1,AP61,"-")</f>
        <v>-</v>
      </c>
      <c r="G61" s="358" t="s">
        <v>367</v>
      </c>
      <c r="H61" s="359"/>
      <c r="I61" s="359"/>
      <c r="J61" s="359"/>
      <c r="K61" s="359"/>
      <c r="L61" s="359"/>
      <c r="M61" s="359"/>
      <c r="N61" s="359"/>
      <c r="O61" s="359"/>
      <c r="P61" s="359"/>
      <c r="Q61" s="359"/>
      <c r="R61" s="18" t="s">
        <v>365</v>
      </c>
      <c r="S61" s="141" t="s">
        <v>168</v>
      </c>
      <c r="V61" s="1">
        <f>IF(S61="有",1,0)</f>
        <v>0</v>
      </c>
      <c r="AD61" s="31">
        <v>0.25</v>
      </c>
      <c r="AE61" s="31">
        <f>IF('1.基本データ(このシートは削除しないこと！)'!H16=1,1,0)</f>
        <v>0</v>
      </c>
      <c r="AF61">
        <f>AD61*AE61</f>
        <v>0</v>
      </c>
      <c r="AG61" s="54"/>
      <c r="AH61" s="54"/>
      <c r="AP61" s="151" t="str">
        <f>IF(V61=1,AF61,"-")</f>
        <v>-</v>
      </c>
    </row>
    <row r="62" spans="1:42" ht="34.950000000000003" customHeight="1" thickBot="1" x14ac:dyDescent="0.25">
      <c r="A62" s="12"/>
      <c r="B62" s="413"/>
      <c r="C62" s="421" t="s">
        <v>0</v>
      </c>
      <c r="D62" s="422"/>
      <c r="E62" s="194"/>
      <c r="F62" s="194"/>
      <c r="G62" s="309" t="s">
        <v>377</v>
      </c>
      <c r="H62" s="324"/>
      <c r="I62" s="368"/>
      <c r="J62" s="369"/>
      <c r="K62" s="369"/>
      <c r="L62" s="369"/>
      <c r="M62" s="369"/>
      <c r="N62" s="369"/>
      <c r="O62" s="369"/>
      <c r="P62" s="369"/>
      <c r="Q62" s="370"/>
      <c r="R62" s="416" t="s">
        <v>376</v>
      </c>
      <c r="S62" s="417"/>
      <c r="V62" s="19">
        <f>IF(I62="",0,1)</f>
        <v>0</v>
      </c>
      <c r="W62" t="s">
        <v>221</v>
      </c>
      <c r="AD62" s="47" t="s">
        <v>164</v>
      </c>
      <c r="AE62" s="47" t="s">
        <v>147</v>
      </c>
      <c r="AP62" s="149" t="s">
        <v>167</v>
      </c>
    </row>
    <row r="63" spans="1:42" ht="34.950000000000003" customHeight="1" thickBot="1" x14ac:dyDescent="0.25">
      <c r="A63" s="12"/>
      <c r="B63" s="413"/>
      <c r="C63" s="423" t="s">
        <v>378</v>
      </c>
      <c r="D63" s="424"/>
      <c r="E63" s="420">
        <f>AD63</f>
        <v>0.5</v>
      </c>
      <c r="F63" s="404" t="str">
        <f>IF(Y63=0,"-",AP63)</f>
        <v>-</v>
      </c>
      <c r="G63" s="327" t="s">
        <v>138</v>
      </c>
      <c r="H63" s="328"/>
      <c r="I63" s="361"/>
      <c r="J63" s="362"/>
      <c r="K63" s="362"/>
      <c r="L63" s="362"/>
      <c r="M63" s="362"/>
      <c r="N63" s="362"/>
      <c r="O63" s="362"/>
      <c r="P63" s="362"/>
      <c r="Q63" s="363"/>
      <c r="R63" s="48" t="s">
        <v>256</v>
      </c>
      <c r="S63" s="389"/>
      <c r="V63" s="68">
        <f>IF(I63="",0,1)</f>
        <v>0</v>
      </c>
      <c r="W63" s="1">
        <f>IF(S63="",0,1)</f>
        <v>0</v>
      </c>
      <c r="X63" s="49"/>
      <c r="Y63" s="19">
        <f>SUM(V63:W66)</f>
        <v>0</v>
      </c>
      <c r="Z63" s="20" t="s">
        <v>239</v>
      </c>
      <c r="AB63" s="69"/>
      <c r="AC63" s="69"/>
      <c r="AD63" s="31">
        <v>0.5</v>
      </c>
      <c r="AE63" s="22">
        <f>IF(Y63=5,AD63*V$62,0)</f>
        <v>0</v>
      </c>
      <c r="AG63" s="69"/>
      <c r="AH63" s="69"/>
      <c r="AP63" s="152">
        <f>IF(Y63=5,AE63,0)</f>
        <v>0</v>
      </c>
    </row>
    <row r="64" spans="1:42" ht="34.950000000000003" customHeight="1" thickBot="1" x14ac:dyDescent="0.25">
      <c r="A64" s="12"/>
      <c r="B64" s="413"/>
      <c r="C64" s="339"/>
      <c r="D64" s="340"/>
      <c r="E64" s="420"/>
      <c r="F64" s="404"/>
      <c r="G64" s="309" t="s">
        <v>386</v>
      </c>
      <c r="H64" s="324"/>
      <c r="I64" s="364"/>
      <c r="J64" s="365"/>
      <c r="K64" s="365"/>
      <c r="L64" s="365"/>
      <c r="M64" s="15" t="s">
        <v>252</v>
      </c>
      <c r="N64" s="365"/>
      <c r="O64" s="365"/>
      <c r="P64" s="365"/>
      <c r="Q64" s="366"/>
      <c r="R64" s="350" t="s">
        <v>257</v>
      </c>
      <c r="S64" s="390"/>
      <c r="V64" s="1">
        <f>IF(AND(I64&lt;&gt;"",N64&lt;&gt;""),1,0)</f>
        <v>0</v>
      </c>
      <c r="W64" s="55"/>
      <c r="AB64" s="69"/>
      <c r="AC64" s="69"/>
      <c r="AE64" s="69"/>
      <c r="AG64" s="69"/>
      <c r="AH64" s="69"/>
    </row>
    <row r="65" spans="1:50" ht="34.950000000000003" customHeight="1" thickBot="1" x14ac:dyDescent="0.25">
      <c r="A65" s="12"/>
      <c r="B65" s="413"/>
      <c r="C65" s="339"/>
      <c r="D65" s="340"/>
      <c r="E65" s="420"/>
      <c r="F65" s="404"/>
      <c r="G65" s="309" t="s">
        <v>387</v>
      </c>
      <c r="H65" s="324"/>
      <c r="I65" s="364"/>
      <c r="J65" s="365"/>
      <c r="K65" s="365"/>
      <c r="L65" s="365"/>
      <c r="M65" s="15" t="s">
        <v>246</v>
      </c>
      <c r="N65" s="365"/>
      <c r="O65" s="365"/>
      <c r="P65" s="365"/>
      <c r="Q65" s="366"/>
      <c r="R65" s="350"/>
      <c r="S65" s="390"/>
      <c r="V65" s="1">
        <f>IF(AND(I65&lt;&gt;"",N65&lt;&gt;""),1,0)</f>
        <v>0</v>
      </c>
      <c r="W65" s="70"/>
      <c r="AB65" s="69"/>
      <c r="AC65" s="69"/>
      <c r="AE65" s="69"/>
      <c r="AG65" s="69"/>
      <c r="AH65" s="69"/>
    </row>
    <row r="66" spans="1:50" ht="34.950000000000003" customHeight="1" thickBot="1" x14ac:dyDescent="0.25">
      <c r="A66" s="12"/>
      <c r="B66" s="413"/>
      <c r="C66" s="302"/>
      <c r="D66" s="425"/>
      <c r="E66" s="420"/>
      <c r="F66" s="404"/>
      <c r="G66" s="325" t="s">
        <v>211</v>
      </c>
      <c r="H66" s="326"/>
      <c r="I66" s="315"/>
      <c r="J66" s="316"/>
      <c r="K66" s="317" t="s">
        <v>247</v>
      </c>
      <c r="L66" s="317"/>
      <c r="M66" s="371" t="s">
        <v>276</v>
      </c>
      <c r="N66" s="372"/>
      <c r="O66" s="372"/>
      <c r="P66" s="199" t="s">
        <v>362</v>
      </c>
      <c r="Q66" s="23" t="s">
        <v>277</v>
      </c>
      <c r="R66" s="351"/>
      <c r="S66" s="391"/>
      <c r="V66" s="1">
        <f>IF(I66="",0,1)</f>
        <v>0</v>
      </c>
      <c r="W66" s="57"/>
      <c r="AB66" s="69"/>
      <c r="AC66" s="69"/>
      <c r="AD66" s="47" t="s">
        <v>164</v>
      </c>
      <c r="AE66" s="47" t="s">
        <v>147</v>
      </c>
      <c r="AG66" s="69"/>
      <c r="AH66" s="69"/>
      <c r="AP66" s="149" t="s">
        <v>167</v>
      </c>
    </row>
    <row r="67" spans="1:50" ht="34.950000000000003" customHeight="1" thickBot="1" x14ac:dyDescent="0.25">
      <c r="A67" s="12"/>
      <c r="B67" s="413"/>
      <c r="C67" s="406" t="s">
        <v>379</v>
      </c>
      <c r="D67" s="407"/>
      <c r="E67" s="418">
        <f>AD67</f>
        <v>0.75</v>
      </c>
      <c r="F67" s="419" t="str">
        <f>IF(Y67=0,"-",AP67)</f>
        <v>-</v>
      </c>
      <c r="G67" s="309" t="s">
        <v>259</v>
      </c>
      <c r="H67" s="324"/>
      <c r="I67" s="16" t="s">
        <v>248</v>
      </c>
      <c r="J67" s="200"/>
      <c r="K67" s="17" t="s">
        <v>249</v>
      </c>
      <c r="L67" s="373"/>
      <c r="M67" s="374"/>
      <c r="N67" s="17" t="s">
        <v>253</v>
      </c>
      <c r="O67" s="375"/>
      <c r="P67" s="374"/>
      <c r="Q67" s="71" t="s">
        <v>251</v>
      </c>
      <c r="R67" s="455" t="s">
        <v>398</v>
      </c>
      <c r="S67" s="389"/>
      <c r="V67" s="1">
        <f>IF(AND(J67&lt;&gt;"",L67&lt;&gt;"",O67&lt;&gt;""),1,0)</f>
        <v>0</v>
      </c>
      <c r="W67" s="1">
        <f>IF(S67="",0,1)</f>
        <v>0</v>
      </c>
      <c r="X67" s="49"/>
      <c r="Y67" s="19">
        <f>SUM(V67:W69)</f>
        <v>0</v>
      </c>
      <c r="Z67" s="20" t="s">
        <v>239</v>
      </c>
      <c r="AB67" s="270" t="s">
        <v>303</v>
      </c>
      <c r="AC67" s="47">
        <f>IF(S69=AB67,1,0)</f>
        <v>0</v>
      </c>
      <c r="AD67" s="31">
        <v>0.75</v>
      </c>
      <c r="AE67" s="22">
        <f>IF(Y67=5,AD67*V$62*AC67,0)</f>
        <v>0</v>
      </c>
      <c r="AG67" s="69"/>
      <c r="AH67" s="69"/>
      <c r="AP67" s="152">
        <f>IF(Y67=5,MAX(AE67:AE68),0)</f>
        <v>0</v>
      </c>
    </row>
    <row r="68" spans="1:50" ht="34.950000000000003" customHeight="1" thickBot="1" x14ac:dyDescent="0.25">
      <c r="A68" s="12"/>
      <c r="B68" s="413"/>
      <c r="C68" s="408"/>
      <c r="D68" s="409"/>
      <c r="E68" s="418"/>
      <c r="F68" s="419"/>
      <c r="G68" s="303" t="s">
        <v>313</v>
      </c>
      <c r="H68" s="329"/>
      <c r="I68" s="354"/>
      <c r="J68" s="355"/>
      <c r="K68" s="355"/>
      <c r="L68" s="355"/>
      <c r="M68" s="33" t="s">
        <v>254</v>
      </c>
      <c r="N68" s="355"/>
      <c r="O68" s="355"/>
      <c r="P68" s="355"/>
      <c r="Q68" s="356"/>
      <c r="R68" s="456"/>
      <c r="S68" s="391"/>
      <c r="V68" s="1">
        <f>IF(AND(I68&lt;&gt;"",N68&lt;&gt;""),1,0)</f>
        <v>0</v>
      </c>
      <c r="W68" s="1">
        <f>IF(S69="-",0,1)</f>
        <v>0</v>
      </c>
      <c r="AB68" s="270" t="s">
        <v>302</v>
      </c>
      <c r="AC68" s="47">
        <f>IF(S69=AB68,1,0)</f>
        <v>0</v>
      </c>
      <c r="AD68" s="31">
        <v>0.5</v>
      </c>
      <c r="AE68" s="22">
        <f>IF(Y67=5,AD68*V$62*AC68,0)</f>
        <v>0</v>
      </c>
      <c r="AG68" s="69"/>
      <c r="AH68" s="69"/>
    </row>
    <row r="69" spans="1:50" ht="34.950000000000003" customHeight="1" thickBot="1" x14ac:dyDescent="0.25">
      <c r="A69" s="12"/>
      <c r="B69" s="415"/>
      <c r="C69" s="421"/>
      <c r="D69" s="422"/>
      <c r="E69" s="418"/>
      <c r="F69" s="419"/>
      <c r="G69" s="309" t="s">
        <v>307</v>
      </c>
      <c r="H69" s="324"/>
      <c r="I69" s="354"/>
      <c r="J69" s="355"/>
      <c r="K69" s="355"/>
      <c r="L69" s="355"/>
      <c r="M69" s="33" t="s">
        <v>255</v>
      </c>
      <c r="N69" s="355"/>
      <c r="O69" s="355"/>
      <c r="P69" s="355"/>
      <c r="Q69" s="356"/>
      <c r="R69" s="269" t="s">
        <v>399</v>
      </c>
      <c r="S69" s="268" t="s">
        <v>168</v>
      </c>
      <c r="V69" s="1">
        <f>IF(AND(I69&lt;&gt;"",N69&lt;&gt;""),1,0)</f>
        <v>0</v>
      </c>
      <c r="W69" s="70"/>
      <c r="AB69" s="69"/>
      <c r="AC69" s="69"/>
      <c r="AE69" s="69"/>
      <c r="AG69" s="69"/>
      <c r="AH69" s="69"/>
    </row>
    <row r="70" spans="1:50" ht="19.95" customHeight="1" x14ac:dyDescent="0.2">
      <c r="A70" s="12"/>
      <c r="B70" s="485" t="s">
        <v>324</v>
      </c>
      <c r="C70" s="485"/>
      <c r="D70" s="485"/>
      <c r="E70" s="485"/>
      <c r="F70" s="485"/>
      <c r="G70" s="485"/>
      <c r="H70" s="485"/>
      <c r="I70" s="485"/>
      <c r="J70" s="485"/>
      <c r="K70" s="485"/>
      <c r="L70" s="485"/>
      <c r="M70" s="485"/>
      <c r="N70" s="485"/>
      <c r="O70" s="485"/>
      <c r="P70" s="485"/>
      <c r="Q70" s="485"/>
      <c r="R70" s="485"/>
      <c r="S70" s="485"/>
    </row>
    <row r="71" spans="1:50" s="237" customFormat="1" ht="16.95" customHeight="1" x14ac:dyDescent="0.2">
      <c r="A71" s="236"/>
      <c r="B71" s="486" t="s">
        <v>325</v>
      </c>
      <c r="C71" s="486"/>
      <c r="D71" s="486"/>
      <c r="E71" s="486"/>
      <c r="F71" s="486"/>
      <c r="G71" s="486"/>
      <c r="H71" s="486"/>
      <c r="I71" s="486"/>
      <c r="J71" s="486"/>
      <c r="K71" s="486"/>
      <c r="L71" s="486"/>
      <c r="M71" s="486"/>
      <c r="N71" s="486"/>
      <c r="O71" s="486"/>
      <c r="P71" s="486"/>
      <c r="Q71" s="486"/>
      <c r="R71" s="486"/>
      <c r="S71" s="486"/>
      <c r="AG71" s="236"/>
    </row>
    <row r="72" spans="1:50" s="237" customFormat="1" ht="16.95" customHeight="1" x14ac:dyDescent="0.2">
      <c r="A72" s="236"/>
      <c r="B72" s="486" t="s">
        <v>326</v>
      </c>
      <c r="C72" s="486"/>
      <c r="D72" s="486"/>
      <c r="E72" s="486"/>
      <c r="F72" s="486"/>
      <c r="G72" s="486"/>
      <c r="H72" s="486"/>
      <c r="I72" s="486"/>
      <c r="J72" s="486"/>
      <c r="K72" s="486"/>
      <c r="L72" s="486"/>
      <c r="M72" s="486"/>
      <c r="N72" s="486"/>
      <c r="O72" s="486"/>
      <c r="P72" s="486"/>
      <c r="Q72" s="486"/>
      <c r="R72" s="486"/>
      <c r="S72" s="486"/>
      <c r="AG72" s="236"/>
      <c r="AH72" s="236"/>
      <c r="AI72" s="236"/>
      <c r="AJ72" s="236"/>
      <c r="AK72" s="236"/>
    </row>
    <row r="73" spans="1:50" s="237" customFormat="1" ht="16.95" customHeight="1" x14ac:dyDescent="0.2">
      <c r="A73" s="236"/>
      <c r="B73" s="486" t="s">
        <v>389</v>
      </c>
      <c r="C73" s="486"/>
      <c r="D73" s="486"/>
      <c r="E73" s="486"/>
      <c r="F73" s="486"/>
      <c r="G73" s="486"/>
      <c r="H73" s="486"/>
      <c r="I73" s="486"/>
      <c r="J73" s="486"/>
      <c r="K73" s="486"/>
      <c r="L73" s="486"/>
      <c r="M73" s="486"/>
      <c r="N73" s="486"/>
      <c r="O73" s="486"/>
      <c r="P73" s="486"/>
      <c r="Q73" s="486"/>
      <c r="R73" s="486"/>
      <c r="S73" s="486"/>
      <c r="AG73" s="236"/>
      <c r="AH73" s="236"/>
      <c r="AI73" s="236"/>
      <c r="AJ73" s="236"/>
      <c r="AK73" s="236"/>
    </row>
    <row r="74" spans="1:50" s="237" customFormat="1" ht="24" customHeight="1" x14ac:dyDescent="0.2">
      <c r="A74" s="236"/>
      <c r="B74" s="486" t="s">
        <v>361</v>
      </c>
      <c r="C74" s="486"/>
      <c r="D74" s="486"/>
      <c r="E74" s="486"/>
      <c r="F74" s="486"/>
      <c r="G74" s="486"/>
      <c r="H74" s="486"/>
      <c r="I74" s="486"/>
      <c r="J74" s="486"/>
      <c r="K74" s="486"/>
      <c r="L74" s="486"/>
      <c r="M74" s="486"/>
      <c r="N74" s="486"/>
      <c r="O74" s="486"/>
      <c r="P74" s="486"/>
      <c r="Q74" s="486"/>
      <c r="R74" s="486"/>
      <c r="S74" s="486"/>
      <c r="AC74" s="238"/>
      <c r="AE74" s="239"/>
      <c r="AF74" s="240"/>
      <c r="AG74" s="241"/>
      <c r="AH74" s="236"/>
      <c r="AM74" s="242"/>
    </row>
    <row r="75" spans="1:50" ht="14.25" customHeight="1" x14ac:dyDescent="0.2">
      <c r="A75" s="12"/>
      <c r="B75" s="72" t="s">
        <v>245</v>
      </c>
      <c r="C75" s="38"/>
      <c r="D75" s="38"/>
      <c r="E75" s="38"/>
      <c r="F75" s="38"/>
      <c r="G75" s="38"/>
      <c r="H75" s="38"/>
      <c r="I75" s="38"/>
      <c r="J75" s="38"/>
      <c r="K75" s="38"/>
      <c r="L75" s="38"/>
      <c r="M75" s="38"/>
      <c r="N75" s="38"/>
      <c r="O75" s="38"/>
      <c r="P75" s="38"/>
      <c r="Q75" s="38"/>
      <c r="S75" s="39" t="s">
        <v>238</v>
      </c>
      <c r="AM75" s="14" t="s">
        <v>164</v>
      </c>
      <c r="AN75" s="12"/>
      <c r="AO75" s="12"/>
      <c r="AP75" s="12"/>
    </row>
    <row r="76" spans="1:50" ht="16.5" customHeight="1" thickBot="1" x14ac:dyDescent="0.25">
      <c r="A76" s="12"/>
      <c r="B76" s="401" t="s">
        <v>139</v>
      </c>
      <c r="C76" s="401"/>
      <c r="D76" s="401"/>
      <c r="E76" s="402" t="str">
        <f>E49</f>
        <v>第25-01135-0008号 東分庁舎屋上防水等改修工事</v>
      </c>
      <c r="F76" s="402"/>
      <c r="G76" s="402"/>
      <c r="H76" s="402"/>
      <c r="I76" s="402"/>
      <c r="J76" s="402"/>
      <c r="K76" s="402"/>
      <c r="L76" s="402"/>
      <c r="M76" s="402"/>
      <c r="N76" s="402"/>
      <c r="O76" s="402"/>
      <c r="P76" s="402"/>
      <c r="Q76" s="402"/>
      <c r="R76" s="402"/>
      <c r="AE76" s="64"/>
      <c r="AF76" s="67"/>
      <c r="AJ76" s="1">
        <v>0</v>
      </c>
      <c r="AK76" s="96"/>
      <c r="AL76" s="96"/>
      <c r="AM76" s="21">
        <v>0</v>
      </c>
    </row>
    <row r="77" spans="1:50" ht="16.5" customHeight="1" thickBot="1" x14ac:dyDescent="0.25">
      <c r="A77" s="12"/>
      <c r="B77" s="40"/>
      <c r="C77" s="40"/>
      <c r="D77" s="41" t="s">
        <v>140</v>
      </c>
      <c r="E77" s="42" t="str">
        <f>E50</f>
        <v>○○・△△特定建設工事共同企業体</v>
      </c>
      <c r="F77" s="12"/>
      <c r="G77" s="12"/>
      <c r="H77" s="12"/>
      <c r="I77" s="12"/>
      <c r="J77" s="12"/>
      <c r="K77" s="12"/>
      <c r="L77" s="12"/>
      <c r="M77" s="12"/>
      <c r="N77" s="12"/>
      <c r="O77" s="12"/>
      <c r="P77" s="12"/>
      <c r="Q77" s="12"/>
      <c r="R77" s="12"/>
      <c r="S77" s="12"/>
      <c r="V77" s="19">
        <f>IF(K79="",0,1)</f>
        <v>0</v>
      </c>
      <c r="W77" t="s">
        <v>330</v>
      </c>
      <c r="Z77" s="14" t="s">
        <v>274</v>
      </c>
      <c r="AA77" s="1"/>
      <c r="AB77" s="14" t="s">
        <v>275</v>
      </c>
      <c r="AE77" s="73"/>
      <c r="AF77" s="74"/>
      <c r="AG77" s="73"/>
      <c r="AJ77" s="1">
        <v>42</v>
      </c>
      <c r="AK77" s="1" t="s">
        <v>144</v>
      </c>
      <c r="AL77" s="1" t="s">
        <v>170</v>
      </c>
      <c r="AM77" s="21">
        <v>5</v>
      </c>
      <c r="AP77" s="149" t="s">
        <v>167</v>
      </c>
    </row>
    <row r="78" spans="1:50" ht="22.5" customHeight="1" thickBot="1" x14ac:dyDescent="0.25">
      <c r="A78" s="12"/>
      <c r="B78" s="403" t="s">
        <v>343</v>
      </c>
      <c r="C78" s="403"/>
      <c r="D78" s="403"/>
      <c r="E78" s="43" t="s">
        <v>169</v>
      </c>
      <c r="F78" s="44" t="s">
        <v>1</v>
      </c>
      <c r="G78" s="330" t="s">
        <v>323</v>
      </c>
      <c r="H78" s="331"/>
      <c r="I78" s="331"/>
      <c r="J78" s="331"/>
      <c r="K78" s="331"/>
      <c r="L78" s="331"/>
      <c r="M78" s="331"/>
      <c r="N78" s="331"/>
      <c r="O78" s="331"/>
      <c r="P78" s="331"/>
      <c r="Q78" s="331"/>
      <c r="R78" s="331"/>
      <c r="S78" s="332"/>
      <c r="V78" s="1">
        <f>IF(OR(R79=リスト!O4),1,0)</f>
        <v>0</v>
      </c>
      <c r="W78" s="50">
        <f>V77</f>
        <v>0</v>
      </c>
      <c r="X78" s="19">
        <f>SUM(V78:W78)</f>
        <v>0</v>
      </c>
      <c r="Y78" s="20" t="s">
        <v>273</v>
      </c>
      <c r="Z78" s="21">
        <v>0.5</v>
      </c>
      <c r="AA78" s="1">
        <f>Z78*V78</f>
        <v>0</v>
      </c>
      <c r="AB78" s="186" t="str">
        <f>IF(V77=1,MAX(AA78:AA79),"-")</f>
        <v>-</v>
      </c>
      <c r="AC78" s="75" t="s">
        <v>206</v>
      </c>
      <c r="AE78" s="76">
        <v>1</v>
      </c>
      <c r="AF78" s="77">
        <f>V80*AE78</f>
        <v>0</v>
      </c>
      <c r="AG78" s="78" t="str">
        <f>IF('1.基本データ(このシートは削除しないこと！)'!H16=1,MAX(AF78:AF79),"-")</f>
        <v>-</v>
      </c>
      <c r="AJ78" s="1">
        <v>41</v>
      </c>
      <c r="AK78" s="1" t="s">
        <v>144</v>
      </c>
      <c r="AL78" s="1" t="s">
        <v>25</v>
      </c>
      <c r="AM78" s="21">
        <v>4</v>
      </c>
      <c r="AP78" s="153"/>
      <c r="AX78" s="12"/>
    </row>
    <row r="79" spans="1:50" ht="34.950000000000003" customHeight="1" thickBot="1" x14ac:dyDescent="0.25">
      <c r="A79" s="12"/>
      <c r="B79" s="412" t="s">
        <v>190</v>
      </c>
      <c r="C79" s="303" t="s">
        <v>260</v>
      </c>
      <c r="D79" s="357"/>
      <c r="E79" s="34">
        <f>Z78</f>
        <v>0.5</v>
      </c>
      <c r="F79" s="66" t="str">
        <f>AQ81</f>
        <v>-</v>
      </c>
      <c r="G79" s="343" t="s">
        <v>393</v>
      </c>
      <c r="H79" s="344"/>
      <c r="I79" s="487" t="s">
        <v>338</v>
      </c>
      <c r="J79" s="488"/>
      <c r="K79" s="333"/>
      <c r="L79" s="334"/>
      <c r="M79" s="334"/>
      <c r="N79" s="334"/>
      <c r="O79" s="334"/>
      <c r="P79" s="334"/>
      <c r="Q79" s="335"/>
      <c r="R79" s="336" t="s">
        <v>168</v>
      </c>
      <c r="S79" s="337"/>
      <c r="V79" s="1">
        <f>IF(OR(R79=リスト!O5),1,0)</f>
        <v>0</v>
      </c>
      <c r="W79" s="50">
        <f>V77</f>
        <v>0</v>
      </c>
      <c r="X79" s="19">
        <f>SUM(V79:W79)</f>
        <v>0</v>
      </c>
      <c r="Y79" s="20" t="s">
        <v>273</v>
      </c>
      <c r="Z79" s="1">
        <v>0.25</v>
      </c>
      <c r="AA79" s="1">
        <f>Z79*V79</f>
        <v>0</v>
      </c>
      <c r="AB79" s="186" t="str">
        <f>IF(V77=1,MAX(AA78:AA79),"-")</f>
        <v>-</v>
      </c>
      <c r="AC79" s="79" t="s">
        <v>207</v>
      </c>
      <c r="AE79" s="80">
        <v>0.5</v>
      </c>
      <c r="AF79" s="81">
        <f>W80*AE79</f>
        <v>0</v>
      </c>
      <c r="AG79" s="82" t="str">
        <f>IF('1.基本データ(このシートは削除しないこと！)'!H16=10,AF79,"-")</f>
        <v>-</v>
      </c>
      <c r="AJ79" s="1">
        <v>40</v>
      </c>
      <c r="AK79" s="1" t="s">
        <v>144</v>
      </c>
      <c r="AL79" s="1" t="s">
        <v>3</v>
      </c>
      <c r="AM79" s="21">
        <v>3</v>
      </c>
      <c r="AP79" s="153"/>
      <c r="AX79" s="12"/>
    </row>
    <row r="80" spans="1:50" ht="34.950000000000003" customHeight="1" thickBot="1" x14ac:dyDescent="0.25">
      <c r="A80" s="12"/>
      <c r="B80" s="413"/>
      <c r="C80" s="310" t="s">
        <v>327</v>
      </c>
      <c r="D80" s="458"/>
      <c r="E80" s="110">
        <f>AE78</f>
        <v>1</v>
      </c>
      <c r="F80" s="161" t="str">
        <f>AQ82</f>
        <v>-</v>
      </c>
      <c r="G80" s="341" t="s">
        <v>383</v>
      </c>
      <c r="H80" s="342"/>
      <c r="I80" s="434" t="s">
        <v>339</v>
      </c>
      <c r="J80" s="434"/>
      <c r="K80" s="482" t="s">
        <v>168</v>
      </c>
      <c r="L80" s="483"/>
      <c r="M80" s="483"/>
      <c r="N80" s="483"/>
      <c r="O80" s="483"/>
      <c r="P80" s="483"/>
      <c r="Q80" s="483"/>
      <c r="R80" s="483"/>
      <c r="S80" s="484"/>
      <c r="V80" s="1">
        <f>IF(AND('1.基本データ(このシートは削除しないこと！)'!$H$16=1,'2.様式第1号、第11号-1(特別簡易型)'!$K$80=リスト!K9),1,0)</f>
        <v>0</v>
      </c>
      <c r="W80" s="1">
        <f>IF(AND('1.基本データ(このシートは削除しないこと！)'!$H$16=1,'2.様式第1号、第11号-1(特別簡易型)'!$K$80=リスト!K10),1,0)</f>
        <v>0</v>
      </c>
      <c r="X80" s="1">
        <f>IF(AND('1.基本データ(このシートは削除しないこと！)'!$H$16&gt;1,'2.様式第1号、第11号-1(特別簡易型)'!$K$80=リスト!K11),1,0)</f>
        <v>0</v>
      </c>
      <c r="Y80">
        <f>SUM(V80:X80)</f>
        <v>0</v>
      </c>
      <c r="Z80" s="84" t="s">
        <v>205</v>
      </c>
      <c r="AC80" s="85" t="s">
        <v>208</v>
      </c>
      <c r="AE80" s="80">
        <v>1</v>
      </c>
      <c r="AF80" s="81">
        <f>X80*AE80</f>
        <v>0</v>
      </c>
      <c r="AG80" s="82">
        <f>IF('1.基本データ(このシートは削除しないこと！)'!H16&gt;1,AF80,"-")</f>
        <v>0</v>
      </c>
      <c r="AJ80" s="1">
        <v>32</v>
      </c>
      <c r="AK80" s="1" t="s">
        <v>145</v>
      </c>
      <c r="AL80" s="1" t="s">
        <v>170</v>
      </c>
      <c r="AM80" s="21">
        <v>3</v>
      </c>
      <c r="AQ80" s="149" t="s">
        <v>167</v>
      </c>
      <c r="AS80" s="12" t="s">
        <v>193</v>
      </c>
      <c r="AT80" s="134"/>
      <c r="AX80" s="12"/>
    </row>
    <row r="81" spans="1:60" ht="32.1" customHeight="1" thickBot="1" x14ac:dyDescent="0.25">
      <c r="A81" s="12"/>
      <c r="B81" s="413"/>
      <c r="C81" s="407" t="s">
        <v>272</v>
      </c>
      <c r="D81" s="463"/>
      <c r="E81" s="410">
        <f>AM77</f>
        <v>5</v>
      </c>
      <c r="F81" s="467" t="str">
        <f>IF(OR(K82="-",K83="-"),"-",AQ88)</f>
        <v>-</v>
      </c>
      <c r="G81" s="338" t="s">
        <v>213</v>
      </c>
      <c r="H81" s="339"/>
      <c r="I81" s="339"/>
      <c r="J81" s="339"/>
      <c r="K81" s="339"/>
      <c r="L81" s="339"/>
      <c r="M81" s="339"/>
      <c r="N81" s="339"/>
      <c r="O81" s="339"/>
      <c r="P81" s="339"/>
      <c r="Q81" s="340"/>
      <c r="R81" s="346" t="s">
        <v>394</v>
      </c>
      <c r="S81" s="347"/>
      <c r="Z81" s="144" t="s">
        <v>227</v>
      </c>
      <c r="AA81" s="145"/>
      <c r="AB81" s="145"/>
      <c r="AC81" s="145"/>
      <c r="AE81" s="144" t="s">
        <v>148</v>
      </c>
      <c r="AF81" s="145"/>
      <c r="AG81" s="145"/>
      <c r="AJ81" s="1">
        <v>31</v>
      </c>
      <c r="AK81" s="1" t="s">
        <v>145</v>
      </c>
      <c r="AL81" s="1" t="s">
        <v>25</v>
      </c>
      <c r="AM81" s="21">
        <v>2</v>
      </c>
      <c r="AO81" s="83" t="s">
        <v>201</v>
      </c>
      <c r="AQ81" s="187" t="str">
        <f>IF(V77=1,MAX(AB78:AB79),"-")</f>
        <v>-</v>
      </c>
      <c r="AS81" s="14" t="s">
        <v>216</v>
      </c>
      <c r="AT81" s="133" t="s">
        <v>148</v>
      </c>
      <c r="AX81" s="12"/>
    </row>
    <row r="82" spans="1:60" ht="32.1" customHeight="1" thickBot="1" x14ac:dyDescent="0.25">
      <c r="A82" s="12"/>
      <c r="B82" s="413"/>
      <c r="C82" s="409"/>
      <c r="D82" s="464"/>
      <c r="E82" s="411"/>
      <c r="F82" s="468"/>
      <c r="G82" s="305" t="s">
        <v>261</v>
      </c>
      <c r="H82" s="303"/>
      <c r="I82" s="434" t="s">
        <v>339</v>
      </c>
      <c r="J82" s="434"/>
      <c r="K82" s="472" t="s">
        <v>168</v>
      </c>
      <c r="L82" s="473"/>
      <c r="M82" s="473"/>
      <c r="N82" s="473"/>
      <c r="O82" s="473"/>
      <c r="P82" s="473"/>
      <c r="Q82" s="474"/>
      <c r="R82" s="346"/>
      <c r="S82" s="347"/>
      <c r="T82" s="87"/>
      <c r="U82" s="87"/>
      <c r="V82" s="7" t="s">
        <v>209</v>
      </c>
      <c r="W82" s="88" t="str">
        <f>VLOOKUP(K82,リスト2!$C$3:$E$65,2,FALSE)</f>
        <v>-</v>
      </c>
      <c r="X82" s="89"/>
      <c r="Z82" s="90" t="s">
        <v>149</v>
      </c>
      <c r="AA82" s="91" t="s">
        <v>308</v>
      </c>
      <c r="AB82" s="91" t="s">
        <v>222</v>
      </c>
      <c r="AC82" s="92">
        <f>IF(K82="-",0,MAX(AC83:AC86))</f>
        <v>0</v>
      </c>
      <c r="AE82" s="90" t="s">
        <v>149</v>
      </c>
      <c r="AF82" s="91" t="s">
        <v>222</v>
      </c>
      <c r="AG82" s="92">
        <f>IF(K85="-",0,MAX(AG83:AG86))</f>
        <v>0</v>
      </c>
      <c r="AH82" s="19">
        <f>AC82-AG82</f>
        <v>0</v>
      </c>
      <c r="AJ82" s="1">
        <v>30</v>
      </c>
      <c r="AK82" s="1" t="s">
        <v>145</v>
      </c>
      <c r="AL82" s="1" t="s">
        <v>3</v>
      </c>
      <c r="AM82" s="21">
        <v>1.5</v>
      </c>
      <c r="AO82" s="83" t="s">
        <v>201</v>
      </c>
      <c r="AQ82" s="153" t="str">
        <f>IF(Y80=1,MAX(AG78:AG80),"-")</f>
        <v>-</v>
      </c>
      <c r="AS82" s="11">
        <f>IF($W84="同一市町村",1,10)</f>
        <v>10</v>
      </c>
      <c r="AT82" s="11">
        <f>IF($W87="同一市町村",1,10)</f>
        <v>10</v>
      </c>
    </row>
    <row r="83" spans="1:60" ht="32.1" customHeight="1" thickBot="1" x14ac:dyDescent="0.25">
      <c r="A83" s="12"/>
      <c r="B83" s="413"/>
      <c r="C83" s="409"/>
      <c r="D83" s="464"/>
      <c r="E83" s="411"/>
      <c r="F83" s="468"/>
      <c r="G83" s="345" t="s">
        <v>262</v>
      </c>
      <c r="H83" s="327"/>
      <c r="I83" s="434" t="s">
        <v>339</v>
      </c>
      <c r="J83" s="434"/>
      <c r="K83" s="336" t="s">
        <v>168</v>
      </c>
      <c r="L83" s="457"/>
      <c r="M83" s="457"/>
      <c r="N83" s="457"/>
      <c r="O83" s="457"/>
      <c r="P83" s="457"/>
      <c r="Q83" s="337"/>
      <c r="R83" s="346"/>
      <c r="S83" s="347"/>
      <c r="T83" s="87"/>
      <c r="U83" s="87"/>
      <c r="V83" s="7" t="s">
        <v>210</v>
      </c>
      <c r="W83" s="88" t="str">
        <f>VLOOKUP(K82,リスト2!$C$3:$E$65,3,FALSE)</f>
        <v>-</v>
      </c>
      <c r="X83" s="89"/>
      <c r="Z83" s="68">
        <f>IF(OR(K82='1.基本データ(このシートは削除しないこと！)'!D19,K82='1.基本データ(このシートは削除しないこと！)'!E19),40,0)</f>
        <v>40</v>
      </c>
      <c r="AA83" s="68">
        <f>IF(OR(K83="本店"),2,0)</f>
        <v>0</v>
      </c>
      <c r="AB83" s="68">
        <f>IF(OR(K83="準本店"),1,0)</f>
        <v>0</v>
      </c>
      <c r="AC83" s="68">
        <f>SUM(Z83:AB83)</f>
        <v>40</v>
      </c>
      <c r="AD83" t="s">
        <v>152</v>
      </c>
      <c r="AE83" s="68">
        <f>IF(OR(K85='1.基本データ(このシートは削除しないこと！)'!D19,'2.様式第1号、第11号-1(特別簡易型)'!K85='1.基本データ(このシートは削除しないこと！)'!E19),40,0)</f>
        <v>40</v>
      </c>
      <c r="AF83" s="68">
        <f>IF(K86="準本店",1,0)</f>
        <v>0</v>
      </c>
      <c r="AG83" s="68">
        <f>SUM(AE83:AF83)</f>
        <v>40</v>
      </c>
      <c r="AH83" t="s">
        <v>152</v>
      </c>
      <c r="AJ83" s="1">
        <v>22</v>
      </c>
      <c r="AK83" s="1" t="s">
        <v>146</v>
      </c>
      <c r="AL83" s="1" t="s">
        <v>170</v>
      </c>
      <c r="AM83" s="21">
        <v>2</v>
      </c>
      <c r="AO83" s="167" t="e">
        <f>VLOOKUP(AC82,AJ77:AL88,3,FALSE)</f>
        <v>#N/A</v>
      </c>
      <c r="AS83" s="11">
        <f>IF($W84="同一土木",2,10)</f>
        <v>10</v>
      </c>
      <c r="AT83" s="86">
        <f>IF($W87="同一土木",2,10)</f>
        <v>10</v>
      </c>
      <c r="AU83" s="27"/>
      <c r="AV83" s="12"/>
    </row>
    <row r="84" spans="1:60" ht="32.1" customHeight="1" thickBot="1" x14ac:dyDescent="0.25">
      <c r="A84" s="12"/>
      <c r="B84" s="413"/>
      <c r="C84" s="409"/>
      <c r="D84" s="464"/>
      <c r="E84" s="411"/>
      <c r="F84" s="468"/>
      <c r="G84" s="338" t="s">
        <v>225</v>
      </c>
      <c r="H84" s="339"/>
      <c r="I84" s="339"/>
      <c r="J84" s="339"/>
      <c r="K84" s="339"/>
      <c r="L84" s="339"/>
      <c r="M84" s="339"/>
      <c r="N84" s="339"/>
      <c r="O84" s="339"/>
      <c r="P84" s="339"/>
      <c r="Q84" s="340"/>
      <c r="R84" s="346"/>
      <c r="S84" s="347"/>
      <c r="T84" s="87"/>
      <c r="U84" s="87"/>
      <c r="V84" s="7" t="s">
        <v>214</v>
      </c>
      <c r="W84" s="8" t="str">
        <f>IF(K82="-","-",VLOOKUP($AC$82,AJ76:AM88,2,FALSE))</f>
        <v>-</v>
      </c>
      <c r="X84" s="8" t="str">
        <f>IF(K83="本店","本店",IF(K83="準本店","準本店","支店等"))</f>
        <v>支店等</v>
      </c>
      <c r="Z84" s="1">
        <f>IF(OR(W82='1.基本データ(このシートは削除しないこと！)'!D20,W82='1.基本データ(このシートは削除しないこと！)'!E20),30,0)</f>
        <v>30</v>
      </c>
      <c r="AA84" s="1">
        <f>IF(OR(K83="本店"),2,0)</f>
        <v>0</v>
      </c>
      <c r="AB84" s="1">
        <f>IF(OR(K83="準本店"),1,0)</f>
        <v>0</v>
      </c>
      <c r="AC84" s="68">
        <f t="shared" ref="AC84:AC86" si="3">SUM(Z84:AB84)</f>
        <v>30</v>
      </c>
      <c r="AD84" t="s">
        <v>153</v>
      </c>
      <c r="AE84" s="1">
        <f>IF(OR(W85='1.基本データ(このシートは削除しないこと！)'!D20,'2.様式第1号、第11号-1(特別簡易型)'!W85='1.基本データ(このシートは削除しないこと！)'!E20),30,0)</f>
        <v>30</v>
      </c>
      <c r="AF84" s="68">
        <f>IF(K86="準本店",1,0)</f>
        <v>0</v>
      </c>
      <c r="AG84" s="68">
        <f>SUM(AE84:AF84)</f>
        <v>30</v>
      </c>
      <c r="AH84" t="s">
        <v>153</v>
      </c>
      <c r="AJ84" s="1">
        <v>21</v>
      </c>
      <c r="AK84" s="1" t="s">
        <v>146</v>
      </c>
      <c r="AL84" s="1" t="s">
        <v>25</v>
      </c>
      <c r="AM84" s="21">
        <v>1</v>
      </c>
      <c r="AO84" s="168" t="s">
        <v>147</v>
      </c>
      <c r="AP84" s="169"/>
      <c r="AS84" s="11">
        <f>IF($W84="同一建設",3,10)</f>
        <v>10</v>
      </c>
      <c r="AT84" s="11">
        <f>IF($W87="同一建設",3,10)</f>
        <v>10</v>
      </c>
    </row>
    <row r="85" spans="1:60" ht="32.1" customHeight="1" thickBot="1" x14ac:dyDescent="0.25">
      <c r="A85" s="12"/>
      <c r="B85" s="413"/>
      <c r="C85" s="409"/>
      <c r="D85" s="464"/>
      <c r="E85" s="411"/>
      <c r="F85" s="468"/>
      <c r="G85" s="305" t="s">
        <v>263</v>
      </c>
      <c r="H85" s="303"/>
      <c r="I85" s="434" t="s">
        <v>339</v>
      </c>
      <c r="J85" s="434"/>
      <c r="K85" s="472" t="s">
        <v>168</v>
      </c>
      <c r="L85" s="473"/>
      <c r="M85" s="473"/>
      <c r="N85" s="473"/>
      <c r="O85" s="473"/>
      <c r="P85" s="473"/>
      <c r="Q85" s="474"/>
      <c r="R85" s="346"/>
      <c r="S85" s="347"/>
      <c r="T85" s="87"/>
      <c r="U85" s="87"/>
      <c r="V85" s="7" t="s">
        <v>215</v>
      </c>
      <c r="W85" s="88" t="str">
        <f>VLOOKUP(K85,リスト2!$C$3:$E$65,2,FALSE)</f>
        <v>-</v>
      </c>
      <c r="X85" s="88" t="str">
        <f>IF(K86="準本店","準本店","-")</f>
        <v>-</v>
      </c>
      <c r="Z85" s="1">
        <f>IF(OR(W83='1.基本データ(このシートは削除しないこと！)'!D21,W83='1.基本データ(このシートは削除しないこと！)'!E21),20,0)</f>
        <v>20</v>
      </c>
      <c r="AA85" s="1">
        <f>IF(OR(K83="本店"),2,0)</f>
        <v>0</v>
      </c>
      <c r="AB85" s="1">
        <f>IF(OR(K83="準本店"),1,0)</f>
        <v>0</v>
      </c>
      <c r="AC85" s="68">
        <f t="shared" si="3"/>
        <v>20</v>
      </c>
      <c r="AD85" t="s">
        <v>154</v>
      </c>
      <c r="AE85" s="1">
        <f>IF(OR(W86='1.基本データ(このシートは削除しないこと！)'!D21,'2.様式第1号、第11号-1(特別簡易型)'!W86='1.基本データ(このシートは削除しないこと！)'!E21),20,0)</f>
        <v>20</v>
      </c>
      <c r="AF85" s="1">
        <f>IF(K86="準本店",1,0)</f>
        <v>0</v>
      </c>
      <c r="AG85" s="68">
        <f>SUM(AE85:AF85)</f>
        <v>20</v>
      </c>
      <c r="AH85" t="s">
        <v>154</v>
      </c>
      <c r="AJ85" s="1">
        <v>20</v>
      </c>
      <c r="AK85" s="1" t="s">
        <v>146</v>
      </c>
      <c r="AL85" s="1" t="s">
        <v>3</v>
      </c>
      <c r="AM85" s="21">
        <v>0.5</v>
      </c>
      <c r="AO85" s="170" t="s">
        <v>150</v>
      </c>
      <c r="AP85" s="170" t="s">
        <v>148</v>
      </c>
      <c r="AS85" s="11">
        <f>IF($W84="県内",4,10)</f>
        <v>10</v>
      </c>
      <c r="AT85" s="11">
        <f>IF($W87="県内",4,10)</f>
        <v>10</v>
      </c>
    </row>
    <row r="86" spans="1:60" ht="32.1" customHeight="1" thickTop="1" thickBot="1" x14ac:dyDescent="0.25">
      <c r="A86" s="12"/>
      <c r="B86" s="413"/>
      <c r="C86" s="409"/>
      <c r="D86" s="464"/>
      <c r="E86" s="411"/>
      <c r="F86" s="468"/>
      <c r="G86" s="481" t="s">
        <v>264</v>
      </c>
      <c r="H86" s="309"/>
      <c r="I86" s="434" t="s">
        <v>339</v>
      </c>
      <c r="J86" s="434"/>
      <c r="K86" s="336" t="s">
        <v>168</v>
      </c>
      <c r="L86" s="457"/>
      <c r="M86" s="457"/>
      <c r="N86" s="457"/>
      <c r="O86" s="457"/>
      <c r="P86" s="457"/>
      <c r="Q86" s="337"/>
      <c r="R86" s="346"/>
      <c r="S86" s="347"/>
      <c r="T86" s="95"/>
      <c r="U86" s="95"/>
      <c r="V86" s="7" t="s">
        <v>210</v>
      </c>
      <c r="W86" s="88" t="str">
        <f>VLOOKUP(K85,リスト2!$C$3:$E$65,3,FALSE)</f>
        <v>-</v>
      </c>
      <c r="X86" s="88" t="str">
        <f>IF(K86="準本店","準本店","-")</f>
        <v>-</v>
      </c>
      <c r="Z86" s="1">
        <f>IF(OR(W83='1.基本データ(このシートは削除しないこと！)'!D21,W83='1.基本データ(このシートは削除しないこと！)'!E21),0,10)</f>
        <v>0</v>
      </c>
      <c r="AA86" s="1">
        <f>IF(OR(K83="本店"),2,0)</f>
        <v>0</v>
      </c>
      <c r="AB86" s="1">
        <f>IF(OR(K83="準本店"),1,0)</f>
        <v>0</v>
      </c>
      <c r="AC86" s="68">
        <f t="shared" si="3"/>
        <v>0</v>
      </c>
      <c r="AD86" t="s">
        <v>151</v>
      </c>
      <c r="AE86" s="1">
        <f>IF(OR(W86='1.基本データ(このシートは削除しないこと！)'!D21,'2.様式第1号、第11号-1(特別簡易型)'!W86='1.基本データ(このシートは削除しないこと！)'!E21),0,10)</f>
        <v>0</v>
      </c>
      <c r="AF86" s="1">
        <f>IF(K86="準本店",1,0)</f>
        <v>0</v>
      </c>
      <c r="AG86" s="1">
        <f>SUM(AE86:AF86)</f>
        <v>0</v>
      </c>
      <c r="AH86" t="s">
        <v>151</v>
      </c>
      <c r="AJ86" s="1">
        <v>12</v>
      </c>
      <c r="AK86" s="1" t="s">
        <v>4</v>
      </c>
      <c r="AL86" s="1" t="s">
        <v>170</v>
      </c>
      <c r="AM86" s="21">
        <v>2</v>
      </c>
      <c r="AN86" s="171" t="s">
        <v>279</v>
      </c>
      <c r="AO86" s="21">
        <f>IF(AND('1.基本データ(このシートは削除しないこと！)'!H17=2,AC82&gt;=30),VLOOKUP($AC$82,$AJ$76:$AM$82,4,0),0)</f>
        <v>0</v>
      </c>
      <c r="AP86" s="21">
        <f>IF(AND('1.基本データ(このシートは削除しないこと！)'!H17=2,AG82&gt;=30),VLOOKUP($AG$82,$AJ$76:$AM$82,4,0),0)</f>
        <v>0</v>
      </c>
      <c r="AS86" s="93">
        <f>MIN(AS82:AS85)</f>
        <v>10</v>
      </c>
      <c r="AT86" s="93">
        <f>MIN(AT82:AT85)</f>
        <v>10</v>
      </c>
      <c r="AU86" s="12"/>
      <c r="AV86" s="94"/>
    </row>
    <row r="87" spans="1:60" ht="19.95" customHeight="1" thickBot="1" x14ac:dyDescent="0.25">
      <c r="A87" s="12"/>
      <c r="B87" s="413"/>
      <c r="C87" s="409"/>
      <c r="D87" s="464"/>
      <c r="E87" s="411"/>
      <c r="F87" s="468"/>
      <c r="G87" s="429" t="s">
        <v>265</v>
      </c>
      <c r="H87" s="430"/>
      <c r="I87" s="430"/>
      <c r="J87" s="235"/>
      <c r="K87" s="475" t="str">
        <f>IF(K82="-","-",W88)</f>
        <v>-</v>
      </c>
      <c r="L87" s="476"/>
      <c r="M87" s="476"/>
      <c r="N87" s="476"/>
      <c r="O87" s="476"/>
      <c r="P87" s="476"/>
      <c r="Q87" s="477"/>
      <c r="R87" s="346"/>
      <c r="S87" s="347"/>
      <c r="T87" s="95"/>
      <c r="U87" s="95"/>
      <c r="V87" s="9" t="s">
        <v>214</v>
      </c>
      <c r="W87" s="10" t="str">
        <f>IF(K85="-","-",VLOOKUP(AG82,AJ76:AM88,2,FALSE))</f>
        <v>-</v>
      </c>
      <c r="X87" s="10" t="str">
        <f>IF(K85="-","-",VLOOKUP($AG$82,AJ76:AM87,3,FALSE))</f>
        <v>-</v>
      </c>
      <c r="Y87" s="97"/>
      <c r="Z87" s="98"/>
      <c r="AH87" s="83"/>
      <c r="AJ87" s="1">
        <v>11</v>
      </c>
      <c r="AK87" s="1" t="s">
        <v>4</v>
      </c>
      <c r="AL87" s="1" t="s">
        <v>25</v>
      </c>
      <c r="AM87" s="21">
        <v>1</v>
      </c>
      <c r="AN87" s="171" t="s">
        <v>280</v>
      </c>
      <c r="AO87" s="21">
        <f>IF(AND('1.基本データ(このシートは削除しないこと！)'!H17=3,AC82&gt;=20),VLOOKUP($AC$82,$AJ$76:$AM$85,4,0),0)</f>
        <v>0</v>
      </c>
      <c r="AP87" s="21">
        <f>IF(AND('1.基本データ(このシートは削除しないこと！)'!H17=3,AG82&gt;=20),VLOOKUP($AG82,$AJ$76:$AM$85,4,0),0)</f>
        <v>0</v>
      </c>
      <c r="AQ87" s="154" t="s">
        <v>167</v>
      </c>
      <c r="AT87" s="11">
        <f>MIN(AS86:AT86)</f>
        <v>10</v>
      </c>
      <c r="AU87" s="12" t="s">
        <v>194</v>
      </c>
    </row>
    <row r="88" spans="1:60" ht="19.95" customHeight="1" thickBot="1" x14ac:dyDescent="0.25">
      <c r="A88" s="12"/>
      <c r="B88" s="415"/>
      <c r="C88" s="422"/>
      <c r="D88" s="465"/>
      <c r="E88" s="466"/>
      <c r="F88" s="469"/>
      <c r="G88" s="431" t="s">
        <v>340</v>
      </c>
      <c r="H88" s="432"/>
      <c r="I88" s="432"/>
      <c r="J88" s="433"/>
      <c r="K88" s="478" t="str">
        <f>IF(K83="-","-",X88)</f>
        <v>-</v>
      </c>
      <c r="L88" s="479"/>
      <c r="M88" s="479"/>
      <c r="N88" s="479"/>
      <c r="O88" s="479"/>
      <c r="P88" s="479"/>
      <c r="Q88" s="480"/>
      <c r="R88" s="348"/>
      <c r="S88" s="349"/>
      <c r="T88" s="95"/>
      <c r="U88" s="95"/>
      <c r="V88" s="7" t="s">
        <v>226</v>
      </c>
      <c r="W88" s="99" t="str">
        <f>IF(AH82&gt;=0,W84,W87)</f>
        <v>-</v>
      </c>
      <c r="X88" s="99" t="str">
        <f>IF(AH82&gt;=0,X84,X87)</f>
        <v>支店等</v>
      </c>
      <c r="Y88" s="100"/>
      <c r="Z88" s="98"/>
      <c r="AH88" s="83"/>
      <c r="AJ88" s="1">
        <v>10</v>
      </c>
      <c r="AK88" s="1" t="s">
        <v>4</v>
      </c>
      <c r="AL88" s="1" t="s">
        <v>3</v>
      </c>
      <c r="AM88" s="21">
        <v>0.5</v>
      </c>
      <c r="AN88" s="171" t="s">
        <v>281</v>
      </c>
      <c r="AO88" s="21">
        <f>IF(AND('1.基本データ(このシートは削除しないこと！)'!H17=4,AC82&gt;=10),VLOOKUP($AC$82,$AJ$76:$AM$88,4,0),0)</f>
        <v>0</v>
      </c>
      <c r="AP88" s="21">
        <f>IF(AND('1.基本データ(このシートは削除しないこと！)'!H17=4,AG82&gt;=10),VLOOKUP($AG$82,$AJ$76:$AM$88,4,0),0)</f>
        <v>0</v>
      </c>
      <c r="AQ88" s="172">
        <f>MAX(AO86:AP88)</f>
        <v>0</v>
      </c>
      <c r="AT88" s="19">
        <f>IF(AT87&lt;='1.基本データ(このシートは削除しないこと！)'!H17,1,0)</f>
        <v>0</v>
      </c>
      <c r="AU88" t="s">
        <v>217</v>
      </c>
    </row>
    <row r="89" spans="1:60" ht="24" customHeight="1" thickBot="1" x14ac:dyDescent="0.25">
      <c r="A89" s="12"/>
      <c r="B89" s="470" t="str">
        <f>IF(AND(K82&lt;&gt;"-",AS90=0),"※入札参加者の所在地が地域要件ごとの評価対象エリア外のため、「ボランティア活動」と「選択項目」は評価対象外です。","")</f>
        <v/>
      </c>
      <c r="C89" s="470"/>
      <c r="D89" s="470"/>
      <c r="E89" s="470"/>
      <c r="F89" s="470"/>
      <c r="G89" s="470"/>
      <c r="H89" s="470"/>
      <c r="I89" s="471"/>
      <c r="J89" s="471"/>
      <c r="K89" s="471"/>
      <c r="L89" s="471"/>
      <c r="M89" s="471"/>
      <c r="N89" s="471"/>
      <c r="O89" s="471"/>
      <c r="P89" s="471"/>
      <c r="Q89" s="471"/>
      <c r="R89" s="471"/>
      <c r="S89" s="470"/>
      <c r="T89" s="95"/>
      <c r="U89" s="95"/>
      <c r="W89" s="75"/>
      <c r="X89" s="101"/>
      <c r="Y89" s="101"/>
      <c r="Z89" s="102"/>
      <c r="AG89" s="83"/>
      <c r="AR89" s="321" t="s">
        <v>334</v>
      </c>
      <c r="AS89" t="s">
        <v>218</v>
      </c>
    </row>
    <row r="90" spans="1:60" ht="32.1" customHeight="1" thickBot="1" x14ac:dyDescent="0.25">
      <c r="A90" s="12"/>
      <c r="B90" s="403" t="s">
        <v>344</v>
      </c>
      <c r="C90" s="403"/>
      <c r="D90" s="403"/>
      <c r="E90" s="43" t="s">
        <v>169</v>
      </c>
      <c r="F90" s="44" t="s">
        <v>1</v>
      </c>
      <c r="G90" s="306" t="s">
        <v>341</v>
      </c>
      <c r="H90" s="307"/>
      <c r="I90" s="307"/>
      <c r="J90" s="307"/>
      <c r="K90" s="307"/>
      <c r="L90" s="307"/>
      <c r="M90" s="307"/>
      <c r="N90" s="307"/>
      <c r="O90" s="307"/>
      <c r="P90" s="307"/>
      <c r="Q90" s="308"/>
      <c r="R90" s="24" t="s">
        <v>230</v>
      </c>
      <c r="S90" s="103" t="s">
        <v>231</v>
      </c>
      <c r="T90" s="95"/>
      <c r="U90" s="95"/>
      <c r="V90" s="104" t="s">
        <v>161</v>
      </c>
      <c r="W90" s="104" t="s">
        <v>202</v>
      </c>
      <c r="X90" s="104" t="s">
        <v>219</v>
      </c>
      <c r="Y90" s="105" t="s">
        <v>155</v>
      </c>
      <c r="Z90" s="106" t="s">
        <v>157</v>
      </c>
      <c r="AA90" s="107" t="s">
        <v>156</v>
      </c>
      <c r="AB90" s="106" t="s">
        <v>158</v>
      </c>
      <c r="AC90" s="107" t="s">
        <v>159</v>
      </c>
      <c r="AD90" s="108" t="s">
        <v>160</v>
      </c>
      <c r="AE90" s="108" t="s">
        <v>203</v>
      </c>
      <c r="AF90" s="173" t="s">
        <v>283</v>
      </c>
      <c r="AG90" s="109" t="s">
        <v>162</v>
      </c>
      <c r="AH90" s="109" t="s">
        <v>163</v>
      </c>
      <c r="AI90" s="109" t="s">
        <v>204</v>
      </c>
      <c r="AK90" s="109" t="s">
        <v>165</v>
      </c>
      <c r="AL90" s="109" t="s">
        <v>166</v>
      </c>
      <c r="AM90" s="109" t="s">
        <v>204</v>
      </c>
      <c r="AN90" s="174" t="s">
        <v>279</v>
      </c>
      <c r="AO90" s="174" t="s">
        <v>282</v>
      </c>
      <c r="AP90" s="175" t="s">
        <v>281</v>
      </c>
      <c r="AQ90" s="154" t="s">
        <v>167</v>
      </c>
      <c r="AR90" s="321"/>
      <c r="AS90" s="19">
        <f>IF(AS86&lt;'1.基本データ(このシートは削除しないこと！)'!H17+1,1,0)</f>
        <v>0</v>
      </c>
      <c r="AT90" t="s">
        <v>195</v>
      </c>
    </row>
    <row r="91" spans="1:60" ht="34.950000000000003" customHeight="1" thickBot="1" x14ac:dyDescent="0.25">
      <c r="A91" s="12"/>
      <c r="B91" s="460" t="s">
        <v>190</v>
      </c>
      <c r="C91" s="309" t="s">
        <v>269</v>
      </c>
      <c r="D91" s="458"/>
      <c r="E91" s="110">
        <f>AG91</f>
        <v>0.5</v>
      </c>
      <c r="F91" s="161" t="str">
        <f>IF(OR($AS$90=0,V91=0),"-",AQ91)</f>
        <v>-</v>
      </c>
      <c r="G91" s="309" t="s">
        <v>355</v>
      </c>
      <c r="H91" s="310"/>
      <c r="I91" s="310"/>
      <c r="J91" s="310"/>
      <c r="K91" s="310"/>
      <c r="L91" s="310"/>
      <c r="M91" s="310"/>
      <c r="N91" s="310"/>
      <c r="O91" s="310"/>
      <c r="P91" s="310"/>
      <c r="Q91" s="310"/>
      <c r="R91" s="184" t="s">
        <v>168</v>
      </c>
      <c r="S91" s="143" t="s">
        <v>168</v>
      </c>
      <c r="T91" s="95"/>
      <c r="U91" s="95"/>
      <c r="V91" s="1">
        <f t="shared" ref="V91:V96" si="4">IF(R91="有",1,0)</f>
        <v>0</v>
      </c>
      <c r="W91" s="96"/>
      <c r="X91" s="1">
        <f t="shared" ref="X91:X96" si="5">IF(S91="-",0,1)</f>
        <v>0</v>
      </c>
      <c r="Y91" s="111">
        <f>IF(OR(S91='1.基本データ(このシートは削除しないこと！)'!$D$19,'2.様式第1号、第11号-1(特別簡易型)'!S91='1.基本データ(このシートは削除しないこと！)'!$E$19),1,0)</f>
        <v>1</v>
      </c>
      <c r="Z91" s="112" t="str">
        <f>VLOOKUP(S91,リスト2!$C$3:$E$65,2,FALSE)</f>
        <v>-</v>
      </c>
      <c r="AA91" s="113">
        <f>IF(OR(Z91='1.基本データ(このシートは削除しないこと！)'!$D$20,Z91='1.基本データ(このシートは削除しないこと！)'!$E$20),1,0)</f>
        <v>1</v>
      </c>
      <c r="AB91" s="112" t="str">
        <f>VLOOKUP(S91,リスト2!$C$3:$E$65,3,FALSE)</f>
        <v>-</v>
      </c>
      <c r="AC91" s="113">
        <f>IF(OR(AB91='1.基本データ(このシートは削除しないこと！)'!$D$21,AB91='1.基本データ(このシートは削除しないこと！)'!$E$21),1,0)</f>
        <v>1</v>
      </c>
      <c r="AD91" s="114">
        <f>Y91+AA91+AC91</f>
        <v>3</v>
      </c>
      <c r="AE91" s="114">
        <f>IF(AND('1.基本データ(このシートは削除しないこと！)'!$D$17="全国",AB91&lt;&gt;"-"),4,0)</f>
        <v>0</v>
      </c>
      <c r="AF91" s="176" t="str">
        <f>VLOOKUP(S91,リスト2!$C$3:$F$65,4,FALSE)</f>
        <v>-</v>
      </c>
      <c r="AG91" s="115">
        <v>0.5</v>
      </c>
      <c r="AH91" s="115">
        <v>0.5</v>
      </c>
      <c r="AI91" s="115">
        <v>0.5</v>
      </c>
      <c r="AK91" s="116">
        <f>IF($V91*$X91*$AD91=3,AG91,0)</f>
        <v>0</v>
      </c>
      <c r="AL91" s="116">
        <f>IF($V91*X91*$AD91=2,AH91,0)</f>
        <v>0</v>
      </c>
      <c r="AM91" s="116">
        <f>IF(OR($V91*$X91*$AD91=1,$V91*$X91*$AE91=4),AI91,0)</f>
        <v>0</v>
      </c>
      <c r="AN91" s="31">
        <f>IF('1.基本データ(このシートは削除しないこと！)'!$H$17=2,MAX(AK91:AL91),0)</f>
        <v>0</v>
      </c>
      <c r="AO91" s="31">
        <f>IF('1.基本データ(このシートは削除しないこと！)'!$H$17=3,MAX(AK91:AM91),0)</f>
        <v>0</v>
      </c>
      <c r="AP91" s="177">
        <f>IF(AND('1.基本データ(このシートは削除しないこと！)'!$H$17=4,AF91="県内"),V91*AI91,0)</f>
        <v>0</v>
      </c>
      <c r="AQ91" s="155" t="str">
        <f>IF(V91=1,MAX(AN91:AP91),"-")</f>
        <v>-</v>
      </c>
      <c r="AR91" s="191"/>
    </row>
    <row r="92" spans="1:60" ht="34.950000000000003" customHeight="1" thickBot="1" x14ac:dyDescent="0.25">
      <c r="A92" s="12"/>
      <c r="B92" s="460"/>
      <c r="C92" s="459" t="s">
        <v>268</v>
      </c>
      <c r="D92" s="407"/>
      <c r="E92" s="164">
        <f>AG92</f>
        <v>0.5</v>
      </c>
      <c r="F92" s="185" t="str">
        <f>IF(OR(V92=0),"-",AQ92)</f>
        <v>-</v>
      </c>
      <c r="G92" s="459" t="s">
        <v>356</v>
      </c>
      <c r="H92" s="406"/>
      <c r="I92" s="406"/>
      <c r="J92" s="406"/>
      <c r="K92" s="406"/>
      <c r="L92" s="406"/>
      <c r="M92" s="406"/>
      <c r="N92" s="406"/>
      <c r="O92" s="406"/>
      <c r="P92" s="406"/>
      <c r="Q92" s="406"/>
      <c r="R92" s="184" t="s">
        <v>168</v>
      </c>
      <c r="S92" s="143" t="s">
        <v>168</v>
      </c>
      <c r="T92" s="95"/>
      <c r="U92" s="95"/>
      <c r="V92" s="1">
        <f t="shared" si="4"/>
        <v>0</v>
      </c>
      <c r="W92" s="96"/>
      <c r="X92" s="1">
        <f>IF(S92="-",0,1)</f>
        <v>0</v>
      </c>
      <c r="Y92" s="111">
        <f>IF(OR(S92='1.基本データ(このシートは削除しないこと！)'!$D$19,'2.様式第1号、第11号-1(特別簡易型)'!S92='1.基本データ(このシートは削除しないこと！)'!$E$19),1,0)</f>
        <v>1</v>
      </c>
      <c r="Z92" s="112" t="str">
        <f>VLOOKUP(S92,リスト2!$C$3:$E$65,2,FALSE)</f>
        <v>-</v>
      </c>
      <c r="AA92" s="113">
        <f>IF(OR(Z92='1.基本データ(このシートは削除しないこと！)'!$D$20,Z92='1.基本データ(このシートは削除しないこと！)'!$E$20),1,0)</f>
        <v>1</v>
      </c>
      <c r="AB92" s="112" t="str">
        <f>VLOOKUP(S92,リスト2!$C$3:$E$65,3,FALSE)</f>
        <v>-</v>
      </c>
      <c r="AC92" s="113">
        <f>IF(OR(AB92='1.基本データ(このシートは削除しないこと！)'!$D$21,AB92='1.基本データ(このシートは削除しないこと！)'!$E$21),1,0)</f>
        <v>1</v>
      </c>
      <c r="AD92" s="114">
        <f>Y92+AA92+AC92</f>
        <v>3</v>
      </c>
      <c r="AE92" s="114">
        <f>IF(AND('1.基本データ(このシートは削除しないこと！)'!$D$17="全国",AB92&lt;&gt;"-"),4,0)</f>
        <v>0</v>
      </c>
      <c r="AF92" s="176" t="str">
        <f>VLOOKUP(S92,リスト2!$C$3:$F$65,4,FALSE)</f>
        <v>-</v>
      </c>
      <c r="AG92" s="115">
        <v>0.5</v>
      </c>
      <c r="AH92" s="115">
        <v>0.5</v>
      </c>
      <c r="AI92" s="115">
        <v>0.25</v>
      </c>
      <c r="AK92" s="116">
        <f>IF($V92*$X92*$AD92=3,AG92,0)</f>
        <v>0</v>
      </c>
      <c r="AL92" s="116">
        <f>IF($V92*X92*$AD92=2,AH92,0)</f>
        <v>0</v>
      </c>
      <c r="AM92" s="116">
        <f t="shared" ref="AM92:AM99" si="6">IF(OR($V92*$X92*$AD92=1,$V92*$X92*$AE92=4),AI92,0)</f>
        <v>0</v>
      </c>
      <c r="AN92" s="31">
        <f>IF('1.基本データ(このシートは削除しないこと！)'!$H$17=2,MAX(AK92:AM92),0)</f>
        <v>0</v>
      </c>
      <c r="AO92" s="31">
        <f>IF('1.基本データ(このシートは削除しないこと！)'!$H$17=3,MAX(AK92:AM92),0)</f>
        <v>0</v>
      </c>
      <c r="AP92" s="177">
        <f>IF(AND('1.基本データ(このシートは削除しないこと！)'!$H$17=4,AF92="県内"),V92*AG92,0)</f>
        <v>0</v>
      </c>
      <c r="AQ92" s="155" t="str">
        <f>IF(V92=1,MAX(AN92:AP92),"-")</f>
        <v>-</v>
      </c>
      <c r="AR92" s="192"/>
    </row>
    <row r="93" spans="1:60" ht="72" customHeight="1" thickBot="1" x14ac:dyDescent="0.25">
      <c r="A93" s="12"/>
      <c r="B93" s="460"/>
      <c r="C93" s="435" t="s">
        <v>232</v>
      </c>
      <c r="D93" s="441" t="s">
        <v>395</v>
      </c>
      <c r="E93" s="446">
        <v>1.75</v>
      </c>
      <c r="F93" s="444" t="str">
        <f>IF(OR($AS$90=0,AQ93=0,SUM(V93:V95)=0),"-",AS94)</f>
        <v>-</v>
      </c>
      <c r="G93" s="395" t="s">
        <v>396</v>
      </c>
      <c r="H93" s="453" t="s">
        <v>349</v>
      </c>
      <c r="I93" s="453"/>
      <c r="J93" s="453"/>
      <c r="K93" s="453"/>
      <c r="L93" s="453"/>
      <c r="M93" s="453"/>
      <c r="N93" s="453"/>
      <c r="O93" s="453"/>
      <c r="P93" s="453"/>
      <c r="Q93" s="454"/>
      <c r="R93" s="189" t="s">
        <v>168</v>
      </c>
      <c r="S93" s="427" t="s">
        <v>168</v>
      </c>
      <c r="T93" s="117"/>
      <c r="U93" s="117"/>
      <c r="V93" s="245">
        <f>IF(R93="有",1,0)</f>
        <v>0</v>
      </c>
      <c r="W93" s="311">
        <f>IF(SUM(V93:V95)&gt;0,1,0)</f>
        <v>0</v>
      </c>
      <c r="X93" s="245">
        <f>IF(S93="-",0,1)</f>
        <v>0</v>
      </c>
      <c r="Y93" s="229">
        <f>IF(OR(S93='1.基本データ(このシートは削除しないこと！)'!$D$19,'2.様式第1号、第11号-1(特別簡易型)'!S93='1.基本データ(このシートは削除しないこと！)'!$E$19),1,0)</f>
        <v>1</v>
      </c>
      <c r="Z93" s="230" t="str">
        <f>VLOOKUP(S93,リスト2!$C$3:$E$65,2,FALSE)</f>
        <v>-</v>
      </c>
      <c r="AA93" s="231">
        <f>IF(OR(Z93='1.基本データ(このシートは削除しないこと！)'!$D$20,Z93='1.基本データ(このシートは削除しないこと！)'!$E$20),1,0)</f>
        <v>1</v>
      </c>
      <c r="AB93" s="230" t="str">
        <f>VLOOKUP(S93,リスト2!$C$3:$E$65,3,FALSE)</f>
        <v>-</v>
      </c>
      <c r="AC93" s="231">
        <f>IF(OR(AB93='1.基本データ(このシートは削除しないこと！)'!$D$21,AB93='1.基本データ(このシートは削除しないこと！)'!$E$21),1,0)</f>
        <v>1</v>
      </c>
      <c r="AD93" s="232">
        <f t="shared" ref="AD93" si="7">Y93+AA93+AC93</f>
        <v>3</v>
      </c>
      <c r="AE93" s="217">
        <f>IF(AND('1.基本データ(このシートは削除しないこと！)'!$D$17="全国",AB93&lt;&gt;"-"),4,0)</f>
        <v>0</v>
      </c>
      <c r="AF93" s="176" t="str">
        <f>VLOOKUP(S93,リスト2!$C$3:$F$65,4,FALSE)</f>
        <v>-</v>
      </c>
      <c r="AG93" s="247">
        <v>1.5</v>
      </c>
      <c r="AH93" s="128">
        <v>1.5</v>
      </c>
      <c r="AI93" s="128">
        <v>1.5</v>
      </c>
      <c r="AK93" s="224">
        <f>IF($V93*X93*$AD93=3,AG93,0)</f>
        <v>0</v>
      </c>
      <c r="AL93" s="224">
        <f>IF($V93*X93*$AD93=2,AH93,0)</f>
        <v>0</v>
      </c>
      <c r="AM93" s="224">
        <f t="shared" si="6"/>
        <v>0</v>
      </c>
      <c r="AN93" s="178">
        <f>IF('1.基本データ(このシートは削除しないこと！)'!$H$17=2,MAX(AK93:AL93),0)</f>
        <v>0</v>
      </c>
      <c r="AO93" s="178">
        <f>IF('1.基本データ(このシートは削除しないこと！)'!$H$17=3,MAX(AK93:AM93),0)</f>
        <v>0</v>
      </c>
      <c r="AP93" s="179">
        <f>IF(AND('1.基本データ(このシートは削除しないこと！)'!$H$17=4,AF93="県内"),V93*AI93,0)</f>
        <v>0</v>
      </c>
      <c r="AQ93" s="288">
        <f>IF(W93&lt;=2,MAX(AN93:AP95),"-")</f>
        <v>0</v>
      </c>
      <c r="AR93" s="322">
        <f>AQ93+0.25</f>
        <v>0.25</v>
      </c>
    </row>
    <row r="94" spans="1:60" ht="35.4" customHeight="1" thickBot="1" x14ac:dyDescent="0.25">
      <c r="A94" s="12"/>
      <c r="B94" s="460"/>
      <c r="C94" s="436"/>
      <c r="D94" s="442"/>
      <c r="E94" s="377"/>
      <c r="F94" s="380"/>
      <c r="G94" s="396"/>
      <c r="H94" s="305" t="s">
        <v>350</v>
      </c>
      <c r="I94" s="305"/>
      <c r="J94" s="305"/>
      <c r="K94" s="305"/>
      <c r="L94" s="305"/>
      <c r="M94" s="305"/>
      <c r="N94" s="305"/>
      <c r="O94" s="305"/>
      <c r="P94" s="305"/>
      <c r="Q94" s="303"/>
      <c r="R94" s="189" t="s">
        <v>168</v>
      </c>
      <c r="S94" s="447"/>
      <c r="T94" s="117"/>
      <c r="U94" s="117"/>
      <c r="V94" s="218">
        <f t="shared" si="4"/>
        <v>0</v>
      </c>
      <c r="W94" s="312"/>
      <c r="X94" s="218">
        <f>X93</f>
        <v>0</v>
      </c>
      <c r="Y94" s="218">
        <f t="shared" ref="Y94:AE94" si="8">Y93</f>
        <v>1</v>
      </c>
      <c r="Z94" s="256" t="str">
        <f t="shared" si="8"/>
        <v>-</v>
      </c>
      <c r="AA94" s="260">
        <f t="shared" si="8"/>
        <v>1</v>
      </c>
      <c r="AB94" s="261" t="str">
        <f t="shared" si="8"/>
        <v>-</v>
      </c>
      <c r="AC94" s="258">
        <f t="shared" si="8"/>
        <v>1</v>
      </c>
      <c r="AD94" s="218">
        <f t="shared" si="8"/>
        <v>3</v>
      </c>
      <c r="AE94" s="218">
        <f t="shared" si="8"/>
        <v>0</v>
      </c>
      <c r="AF94" s="176" t="str">
        <f>AF93</f>
        <v>-</v>
      </c>
      <c r="AG94" s="250">
        <v>1.25</v>
      </c>
      <c r="AH94" s="226">
        <v>1.25</v>
      </c>
      <c r="AI94" s="226">
        <v>1.25</v>
      </c>
      <c r="AK94" s="227">
        <f>IF($V94*X94*$AD94=3,AG94,0)</f>
        <v>0</v>
      </c>
      <c r="AL94" s="227">
        <f t="shared" ref="AL94:AL99" si="9">IF($V94*X94*$AD94=2,AH94,0)</f>
        <v>0</v>
      </c>
      <c r="AM94" s="227">
        <f t="shared" si="6"/>
        <v>0</v>
      </c>
      <c r="AN94" s="180">
        <f>IF('1.基本データ(このシートは削除しないこと！)'!$H$17=2,MAX(AK94:AL94),0)</f>
        <v>0</v>
      </c>
      <c r="AO94" s="180">
        <f>IF('1.基本データ(このシートは削除しないこと！)'!$H$17=3,MAX(AK94:AM94),0)</f>
        <v>0</v>
      </c>
      <c r="AP94" s="181">
        <f>IF(AND('1.基本データ(このシートは削除しないこと！)'!$H$17=4,AF94="県内"),V94*AI94,0)</f>
        <v>0</v>
      </c>
      <c r="AQ94" s="289"/>
      <c r="AR94" s="322"/>
      <c r="AS94" s="196" t="str">
        <f>IF(AS95=1,MAX(AQ93:AR93),IF(AS95=2,MIN(AQ93:AR93),"-"))</f>
        <v>-</v>
      </c>
      <c r="BE94" s="188"/>
      <c r="BF94" s="188"/>
      <c r="BG94" s="188"/>
      <c r="BH94" s="188"/>
    </row>
    <row r="95" spans="1:60" ht="58.8" customHeight="1" thickBot="1" x14ac:dyDescent="0.25">
      <c r="A95" s="12"/>
      <c r="B95" s="460"/>
      <c r="C95" s="436"/>
      <c r="D95" s="443"/>
      <c r="E95" s="378"/>
      <c r="F95" s="445"/>
      <c r="G95" s="266" t="s">
        <v>168</v>
      </c>
      <c r="H95" s="357" t="s">
        <v>351</v>
      </c>
      <c r="I95" s="305"/>
      <c r="J95" s="305"/>
      <c r="K95" s="305"/>
      <c r="L95" s="305"/>
      <c r="M95" s="305"/>
      <c r="N95" s="305"/>
      <c r="O95" s="305"/>
      <c r="P95" s="305"/>
      <c r="Q95" s="303"/>
      <c r="R95" s="189" t="s">
        <v>168</v>
      </c>
      <c r="S95" s="428"/>
      <c r="T95" s="117"/>
      <c r="U95" s="117"/>
      <c r="V95" s="246">
        <f t="shared" si="4"/>
        <v>0</v>
      </c>
      <c r="W95" s="313"/>
      <c r="X95" s="246">
        <f>X93</f>
        <v>0</v>
      </c>
      <c r="Y95" s="246">
        <f t="shared" ref="Y95:AE95" si="10">Y93</f>
        <v>1</v>
      </c>
      <c r="Z95" s="257" t="str">
        <f t="shared" si="10"/>
        <v>-</v>
      </c>
      <c r="AA95" s="262">
        <f t="shared" si="10"/>
        <v>1</v>
      </c>
      <c r="AB95" s="263" t="str">
        <f t="shared" si="10"/>
        <v>-</v>
      </c>
      <c r="AC95" s="259">
        <f t="shared" si="10"/>
        <v>1</v>
      </c>
      <c r="AD95" s="246">
        <f t="shared" si="10"/>
        <v>3</v>
      </c>
      <c r="AE95" s="246">
        <f t="shared" si="10"/>
        <v>0</v>
      </c>
      <c r="AF95" s="176" t="str">
        <f>AF93</f>
        <v>-</v>
      </c>
      <c r="AG95" s="248">
        <v>0.75</v>
      </c>
      <c r="AH95" s="249">
        <v>0.75</v>
      </c>
      <c r="AI95" s="249">
        <v>0.75</v>
      </c>
      <c r="AK95" s="251">
        <f>IF($V95*X95*$AD95=3,AG95,0)</f>
        <v>0</v>
      </c>
      <c r="AL95" s="131">
        <f t="shared" si="9"/>
        <v>0</v>
      </c>
      <c r="AM95" s="131">
        <f t="shared" si="6"/>
        <v>0</v>
      </c>
      <c r="AN95" s="182">
        <f>IF('1.基本データ(このシートは削除しないこと！)'!$H$17=2,MAX(AK95:AL95),0)</f>
        <v>0</v>
      </c>
      <c r="AO95" s="182">
        <f>IF('1.基本データ(このシートは削除しないこと！)'!$H$17=3,MAX(AK95:AM95),0)</f>
        <v>0</v>
      </c>
      <c r="AP95" s="183">
        <f>IF(AND('1.基本データ(このシートは削除しないこと！)'!$H$17=4,AF95="県内"),V95*AI95,0)</f>
        <v>0</v>
      </c>
      <c r="AQ95" s="314"/>
      <c r="AR95" s="323"/>
      <c r="AS95" s="193">
        <f>IF(G95=リスト!Q4,1,IF(G95=リスト!Q5,2,0))</f>
        <v>0</v>
      </c>
      <c r="AT95" s="1">
        <f>AS95</f>
        <v>0</v>
      </c>
      <c r="BE95" s="188"/>
      <c r="BF95" s="188"/>
      <c r="BG95" s="188"/>
      <c r="BH95" s="188"/>
    </row>
    <row r="96" spans="1:60" ht="79.95" customHeight="1" thickBot="1" x14ac:dyDescent="0.25">
      <c r="A96" s="12"/>
      <c r="B96" s="460"/>
      <c r="C96" s="436"/>
      <c r="D96" s="438" t="s">
        <v>267</v>
      </c>
      <c r="E96" s="376">
        <f>AG96</f>
        <v>1.25</v>
      </c>
      <c r="F96" s="379" t="str">
        <f>IF(OR($AS$90=0,V96+V97=0),"-",AQ96)</f>
        <v>-</v>
      </c>
      <c r="G96" s="301" t="s">
        <v>352</v>
      </c>
      <c r="H96" s="302"/>
      <c r="I96" s="302"/>
      <c r="J96" s="302"/>
      <c r="K96" s="302"/>
      <c r="L96" s="302"/>
      <c r="M96" s="302"/>
      <c r="N96" s="302"/>
      <c r="O96" s="302"/>
      <c r="P96" s="302"/>
      <c r="Q96" s="302"/>
      <c r="R96" s="184" t="s">
        <v>168</v>
      </c>
      <c r="S96" s="427" t="s">
        <v>168</v>
      </c>
      <c r="T96" s="125"/>
      <c r="U96" s="125"/>
      <c r="V96" s="118">
        <f t="shared" si="4"/>
        <v>0</v>
      </c>
      <c r="W96" s="311">
        <f>IF(SUM(V96:V97)&gt;0,1,0)+W93</f>
        <v>0</v>
      </c>
      <c r="X96" s="126">
        <f t="shared" si="5"/>
        <v>0</v>
      </c>
      <c r="Y96" s="119">
        <f>IF(OR(S96='1.基本データ(このシートは削除しないこと！)'!$D$19,'2.様式第1号、第11号-1(特別簡易型)'!S96='1.基本データ(このシートは削除しないこと！)'!$E$19),1,0)</f>
        <v>1</v>
      </c>
      <c r="Z96" s="120" t="str">
        <f>VLOOKUP(S96,リスト2!$C$3:$E$65,2,FALSE)</f>
        <v>-</v>
      </c>
      <c r="AA96" s="121">
        <f>IF(OR(Z96='1.基本データ(このシートは削除しないこと！)'!$D$20,Z96='1.基本データ(このシートは削除しないこと！)'!$E$20),1,0)</f>
        <v>1</v>
      </c>
      <c r="AB96" s="120" t="str">
        <f>VLOOKUP(S96,リスト2!$C$3:$E$65,3,FALSE)</f>
        <v>-</v>
      </c>
      <c r="AC96" s="121">
        <f>IF(OR(AB96='1.基本データ(このシートは削除しないこと！)'!$D$21,AB96='1.基本データ(このシートは削除しないこと！)'!$E$21),1,0)</f>
        <v>1</v>
      </c>
      <c r="AD96" s="122">
        <f>Y96+AA96+AC96</f>
        <v>3</v>
      </c>
      <c r="AE96" s="127">
        <f>IF(AND('1.基本データ(このシートは削除しないこと！)'!$D$17="全国",AB96&lt;&gt;"-"),4,0)</f>
        <v>0</v>
      </c>
      <c r="AF96" s="176" t="str">
        <f>VLOOKUP(S96,リスト2!$C$3:$F$65,4,FALSE)</f>
        <v>-</v>
      </c>
      <c r="AG96" s="128">
        <v>1.25</v>
      </c>
      <c r="AH96" s="123">
        <v>1.25</v>
      </c>
      <c r="AI96" s="128">
        <v>1.25</v>
      </c>
      <c r="AK96" s="124">
        <f>IF($V96*$X96*$AD96=3,AG96,0)</f>
        <v>0</v>
      </c>
      <c r="AL96" s="224">
        <f t="shared" si="9"/>
        <v>0</v>
      </c>
      <c r="AM96" s="224">
        <f t="shared" si="6"/>
        <v>0</v>
      </c>
      <c r="AN96" s="178">
        <f>IF('1.基本データ(このシートは削除しないこと！)'!$H$17=2,MAX(AK96:AL96),0)</f>
        <v>0</v>
      </c>
      <c r="AO96" s="178">
        <f>IF('1.基本データ(このシートは削除しないこと！)'!$H$17=3,MAX(AK96:AM96),0)</f>
        <v>0</v>
      </c>
      <c r="AP96" s="179">
        <f>IF(AND('1.基本データ(このシートは削除しないこと！)'!$H$17=4,AF96="県内"),V96*AI96,0)</f>
        <v>0</v>
      </c>
      <c r="AQ96" s="156">
        <f>IF(W96&lt;=2,MAX(AN96:AP97),"-")</f>
        <v>0</v>
      </c>
      <c r="BE96" s="190"/>
      <c r="BF96" s="190"/>
      <c r="BG96" s="190"/>
      <c r="BH96" s="190"/>
    </row>
    <row r="97" spans="1:46" ht="34.950000000000003" customHeight="1" thickBot="1" x14ac:dyDescent="0.25">
      <c r="A97" s="12"/>
      <c r="B97" s="460"/>
      <c r="C97" s="436"/>
      <c r="D97" s="439"/>
      <c r="E97" s="378"/>
      <c r="F97" s="381"/>
      <c r="G97" s="303" t="s">
        <v>357</v>
      </c>
      <c r="H97" s="304"/>
      <c r="I97" s="304"/>
      <c r="J97" s="304"/>
      <c r="K97" s="304"/>
      <c r="L97" s="304"/>
      <c r="M97" s="304"/>
      <c r="N97" s="304"/>
      <c r="O97" s="304"/>
      <c r="P97" s="304"/>
      <c r="Q97" s="304"/>
      <c r="R97" s="184" t="s">
        <v>168</v>
      </c>
      <c r="S97" s="428"/>
      <c r="T97" s="117"/>
      <c r="U97" s="117"/>
      <c r="V97" s="68">
        <f t="shared" ref="V97:V102" si="11">IF(R97="有",1,0)</f>
        <v>0</v>
      </c>
      <c r="W97" s="313"/>
      <c r="X97" s="163">
        <f>X96</f>
        <v>0</v>
      </c>
      <c r="Y97" s="163">
        <f t="shared" ref="Y97:AE97" si="12">Y96</f>
        <v>1</v>
      </c>
      <c r="Z97" s="255" t="str">
        <f t="shared" si="12"/>
        <v>-</v>
      </c>
      <c r="AA97" s="253">
        <f t="shared" si="12"/>
        <v>1</v>
      </c>
      <c r="AB97" s="254" t="str">
        <f t="shared" si="12"/>
        <v>-</v>
      </c>
      <c r="AC97" s="252">
        <f t="shared" si="12"/>
        <v>1</v>
      </c>
      <c r="AD97" s="163">
        <f t="shared" si="12"/>
        <v>3</v>
      </c>
      <c r="AE97" s="163">
        <f t="shared" si="12"/>
        <v>0</v>
      </c>
      <c r="AF97" s="176" t="str">
        <f>AF96</f>
        <v>-</v>
      </c>
      <c r="AG97" s="130">
        <v>0.75</v>
      </c>
      <c r="AH97" s="130">
        <v>0.75</v>
      </c>
      <c r="AI97" s="130">
        <v>0.75</v>
      </c>
      <c r="AK97" s="131">
        <f>IF($V97*$X97*$AD97=3,AG97,0)</f>
        <v>0</v>
      </c>
      <c r="AL97" s="228">
        <f t="shared" si="9"/>
        <v>0</v>
      </c>
      <c r="AM97" s="228">
        <f t="shared" si="6"/>
        <v>0</v>
      </c>
      <c r="AN97" s="182">
        <f>IF('1.基本データ(このシートは削除しないこと！)'!$H$17=2,MAX(AK97:AL97),0)</f>
        <v>0</v>
      </c>
      <c r="AO97" s="182">
        <f>IF('1.基本データ(このシートは削除しないこと！)'!$H$17=3,MAX(AK97:AM97),0)</f>
        <v>0</v>
      </c>
      <c r="AP97" s="183">
        <f>IF(AND('1.基本データ(このシートは削除しないこと！)'!$H$17=4,AF97="県内"),V97*AI97,0)</f>
        <v>0</v>
      </c>
      <c r="AQ97" s="157"/>
    </row>
    <row r="98" spans="1:46" ht="34.950000000000003" customHeight="1" thickBot="1" x14ac:dyDescent="0.25">
      <c r="A98" s="12"/>
      <c r="B98" s="460"/>
      <c r="C98" s="436"/>
      <c r="D98" s="438" t="s">
        <v>229</v>
      </c>
      <c r="E98" s="376">
        <f>AG98</f>
        <v>1.25</v>
      </c>
      <c r="F98" s="379" t="str">
        <f>IF(OR($AS$90=0,V98+V99=0),"-",AQ98)</f>
        <v>-</v>
      </c>
      <c r="G98" s="303" t="s">
        <v>358</v>
      </c>
      <c r="H98" s="304"/>
      <c r="I98" s="304"/>
      <c r="J98" s="304"/>
      <c r="K98" s="304"/>
      <c r="L98" s="304"/>
      <c r="M98" s="304"/>
      <c r="N98" s="304"/>
      <c r="O98" s="304"/>
      <c r="P98" s="304"/>
      <c r="Q98" s="304"/>
      <c r="R98" s="184" t="s">
        <v>168</v>
      </c>
      <c r="S98" s="427" t="s">
        <v>168</v>
      </c>
      <c r="T98" s="117"/>
      <c r="U98" s="117"/>
      <c r="V98" s="118">
        <f>IF(R98="有",1,0)</f>
        <v>0</v>
      </c>
      <c r="W98" s="311">
        <f>IF(SUM(V98:V99)&gt;0,1,0)+W96</f>
        <v>0</v>
      </c>
      <c r="X98" s="126">
        <f>IF(S98="-",0,1)</f>
        <v>0</v>
      </c>
      <c r="Y98" s="119">
        <f>IF(OR(S98='1.基本データ(このシートは削除しないこと！)'!$D$19,'2.様式第1号、第11号-1(特別簡易型)'!S98='1.基本データ(このシートは削除しないこと！)'!$E$19),1,0)</f>
        <v>1</v>
      </c>
      <c r="Z98" s="120" t="str">
        <f>VLOOKUP(S98,リスト2!$C$3:$E$65,2,FALSE)</f>
        <v>-</v>
      </c>
      <c r="AA98" s="121">
        <f>IF(OR(Z98='1.基本データ(このシートは削除しないこと！)'!$D$20,Z98='1.基本データ(このシートは削除しないこと！)'!$E$20),1,0)</f>
        <v>1</v>
      </c>
      <c r="AB98" s="120" t="str">
        <f>VLOOKUP(S98,リスト2!$C$3:$E$65,3,FALSE)</f>
        <v>-</v>
      </c>
      <c r="AC98" s="121">
        <f>IF(OR(AB98='1.基本データ(このシートは削除しないこと！)'!$D$21,AB98='1.基本データ(このシートは削除しないこと！)'!$E$21),1,0)</f>
        <v>1</v>
      </c>
      <c r="AD98" s="122">
        <f t="shared" ref="AD98:AD100" si="13">Y98+AA98+AC98</f>
        <v>3</v>
      </c>
      <c r="AE98" s="127">
        <f>IF(AND('1.基本データ(このシートは削除しないこと！)'!$D$17="全国",AB98&lt;&gt;"-"),4,0)</f>
        <v>0</v>
      </c>
      <c r="AF98" s="176" t="str">
        <f>VLOOKUP(S98,リスト2!$C$3:$F$65,4,FALSE)</f>
        <v>-</v>
      </c>
      <c r="AG98" s="128">
        <v>1.25</v>
      </c>
      <c r="AH98" s="128">
        <v>1.25</v>
      </c>
      <c r="AI98" s="128">
        <v>1.25</v>
      </c>
      <c r="AK98" s="124">
        <f>IF($V98*X98*$AD98=3,AG98,0)</f>
        <v>0</v>
      </c>
      <c r="AL98" s="124">
        <f t="shared" si="9"/>
        <v>0</v>
      </c>
      <c r="AM98" s="124">
        <f t="shared" si="6"/>
        <v>0</v>
      </c>
      <c r="AN98" s="178">
        <f>IF('1.基本データ(このシートは削除しないこと！)'!$H$17=2,MAX(AK98:AL98),0)</f>
        <v>0</v>
      </c>
      <c r="AO98" s="178">
        <f>IF('1.基本データ(このシートは削除しないこと！)'!$H$17=3,MAX(AK98:AM98),0)</f>
        <v>0</v>
      </c>
      <c r="AP98" s="179">
        <f>IF(AND('1.基本データ(このシートは削除しないこと！)'!$H$17=4,AF98="県内"),V98*AI98,0)</f>
        <v>0</v>
      </c>
      <c r="AQ98" s="156">
        <f>IF(W98&lt;=2,MAX(AN98:AP99),"-")</f>
        <v>0</v>
      </c>
    </row>
    <row r="99" spans="1:46" ht="34.950000000000003" customHeight="1" thickBot="1" x14ac:dyDescent="0.25">
      <c r="A99" s="12"/>
      <c r="B99" s="460"/>
      <c r="C99" s="436"/>
      <c r="D99" s="439"/>
      <c r="E99" s="378"/>
      <c r="F99" s="381"/>
      <c r="G99" s="303" t="s">
        <v>359</v>
      </c>
      <c r="H99" s="304"/>
      <c r="I99" s="304"/>
      <c r="J99" s="304"/>
      <c r="K99" s="304"/>
      <c r="L99" s="304"/>
      <c r="M99" s="304"/>
      <c r="N99" s="304"/>
      <c r="O99" s="304"/>
      <c r="P99" s="304"/>
      <c r="Q99" s="304"/>
      <c r="R99" s="184" t="s">
        <v>168</v>
      </c>
      <c r="S99" s="428"/>
      <c r="T99" s="132"/>
      <c r="U99" s="132"/>
      <c r="V99" s="68">
        <f>IF(R99="有",1,0)</f>
        <v>0</v>
      </c>
      <c r="W99" s="313"/>
      <c r="X99" s="163">
        <f>X98</f>
        <v>0</v>
      </c>
      <c r="Y99" s="163">
        <f t="shared" ref="Y99:AE99" si="14">Y98</f>
        <v>1</v>
      </c>
      <c r="Z99" s="255" t="str">
        <f t="shared" si="14"/>
        <v>-</v>
      </c>
      <c r="AA99" s="253">
        <f t="shared" si="14"/>
        <v>1</v>
      </c>
      <c r="AB99" s="254" t="str">
        <f t="shared" si="14"/>
        <v>-</v>
      </c>
      <c r="AC99" s="252">
        <f>AC98</f>
        <v>1</v>
      </c>
      <c r="AD99" s="163">
        <f t="shared" si="14"/>
        <v>3</v>
      </c>
      <c r="AE99" s="163">
        <f t="shared" si="14"/>
        <v>0</v>
      </c>
      <c r="AF99" s="176" t="str">
        <f>AF98</f>
        <v>-</v>
      </c>
      <c r="AG99" s="130">
        <v>0.75</v>
      </c>
      <c r="AH99" s="130">
        <v>0.75</v>
      </c>
      <c r="AI99" s="130">
        <v>0.75</v>
      </c>
      <c r="AK99" s="131">
        <f>IF($V99*X99*$AD99=3,AG99,0)</f>
        <v>0</v>
      </c>
      <c r="AL99" s="131">
        <f t="shared" si="9"/>
        <v>0</v>
      </c>
      <c r="AM99" s="131">
        <f t="shared" si="6"/>
        <v>0</v>
      </c>
      <c r="AN99" s="182">
        <f>IF('1.基本データ(このシートは削除しないこと！)'!$H$17=2,MAX(AK99:AL99),0)</f>
        <v>0</v>
      </c>
      <c r="AO99" s="182">
        <f>IF('1.基本データ(このシートは削除しないこと！)'!$H$17=3,MAX(AK99:AM99),0)</f>
        <v>0</v>
      </c>
      <c r="AP99" s="183">
        <f>IF(AND('1.基本データ(このシートは削除しないこと！)'!$H$17=4,AF99="県内"),V99*AI99,0)</f>
        <v>0</v>
      </c>
      <c r="AQ99" s="157"/>
    </row>
    <row r="100" spans="1:46" ht="79.95" customHeight="1" thickBot="1" x14ac:dyDescent="0.25">
      <c r="A100" s="12"/>
      <c r="B100" s="460"/>
      <c r="C100" s="436"/>
      <c r="D100" s="450" t="s">
        <v>397</v>
      </c>
      <c r="E100" s="376">
        <v>1.75</v>
      </c>
      <c r="F100" s="461" t="str">
        <f>IF(OR('1.基本データ(このシートは削除しないこと！)'!H16=10,$AS$90=0,AQ100=0,SUM(V100:V102)=0),"-",AS101)</f>
        <v>-</v>
      </c>
      <c r="G100" s="396" t="s">
        <v>388</v>
      </c>
      <c r="H100" s="305" t="s">
        <v>382</v>
      </c>
      <c r="I100" s="303"/>
      <c r="J100" s="303"/>
      <c r="K100" s="303"/>
      <c r="L100" s="303"/>
      <c r="M100" s="303"/>
      <c r="N100" s="303"/>
      <c r="O100" s="303"/>
      <c r="P100" s="303"/>
      <c r="Q100" s="397"/>
      <c r="R100" s="184" t="s">
        <v>168</v>
      </c>
      <c r="S100" s="427" t="s">
        <v>168</v>
      </c>
      <c r="T100" s="117"/>
      <c r="U100" s="117"/>
      <c r="V100" s="118">
        <f>IF(R100="有",1,0)</f>
        <v>0</v>
      </c>
      <c r="W100" s="311">
        <f>IF(SUM(V100:V102)&gt;0,1,0)+W98</f>
        <v>0</v>
      </c>
      <c r="X100" s="198">
        <f>IF(S100="-",0,1)</f>
        <v>0</v>
      </c>
      <c r="Y100" s="229">
        <f>IF(OR(S100='1.基本データ(このシートは削除しないこと！)'!$D$19,'2.様式第1号、第11号-1(特別簡易型)'!S100='1.基本データ(このシートは削除しないこと！)'!$E$19),1,0)</f>
        <v>1</v>
      </c>
      <c r="Z100" s="230" t="str">
        <f>VLOOKUP(S100,リスト2!$C$3:$E$65,2,FALSE)</f>
        <v>-</v>
      </c>
      <c r="AA100" s="231">
        <f>IF(OR(Z100='1.基本データ(このシートは削除しないこと！)'!$D$20,Z100='1.基本データ(このシートは削除しないこと！)'!$E$20),1,0)</f>
        <v>1</v>
      </c>
      <c r="AB100" s="230" t="str">
        <f>VLOOKUP(S100,リスト2!$C$3:$E$65,3,FALSE)</f>
        <v>-</v>
      </c>
      <c r="AC100" s="231">
        <f>IF(OR(AB100='1.基本データ(このシートは削除しないこと！)'!$D$21,AB100='1.基本データ(このシートは削除しないこと！)'!$E$21),1,0)</f>
        <v>1</v>
      </c>
      <c r="AD100" s="232">
        <f t="shared" si="13"/>
        <v>3</v>
      </c>
      <c r="AE100" s="232">
        <f>IF(AND('1.基本データ(このシートは削除しないこと！)'!$D$17="全国",AB100&lt;&gt;"-"),4,0)</f>
        <v>0</v>
      </c>
      <c r="AF100" s="176" t="str">
        <f>VLOOKUP(S100,リスト2!$C$3:$F$65,4,FALSE)</f>
        <v>-</v>
      </c>
      <c r="AG100" s="128">
        <f>IF('1.基本データ(このシートは削除しないこと！)'!H16=1,1.5,0)</f>
        <v>0</v>
      </c>
      <c r="AH100" s="128">
        <f>IF('1.基本データ(このシートは削除しないこと！)'!H16=1,1.5,0)</f>
        <v>0</v>
      </c>
      <c r="AI100" s="128">
        <f>IF('1.基本データ(このシートは削除しないこと！)'!H16=1,1.5,0)</f>
        <v>0</v>
      </c>
      <c r="AK100" s="224">
        <f>IF($V100*X100*$AD100=3,AG100,0)</f>
        <v>0</v>
      </c>
      <c r="AL100" s="224">
        <f>IF($V100*X100*$AD100=2,AH100,0)</f>
        <v>0</v>
      </c>
      <c r="AM100" s="224">
        <f>IF(OR($V100*$X100*$AD100=1,$V100*$X100*$AE100=4),AI100,0)</f>
        <v>0</v>
      </c>
      <c r="AN100" s="178">
        <f>IF('1.基本データ(このシートは削除しないこと！)'!$H$17=2,MAX(AK100:AL100),0)</f>
        <v>0</v>
      </c>
      <c r="AO100" s="178">
        <f>IF('1.基本データ(このシートは削除しないこと！)'!$H$17=3,MAX(AK100:AM100),0)</f>
        <v>0</v>
      </c>
      <c r="AP100" s="179">
        <f>IF(AND('1.基本データ(このシートは削除しないこと！)'!$H$17=4,AF100="県内"),V100*AI100,0)</f>
        <v>0</v>
      </c>
      <c r="AQ100" s="288">
        <f>IF(W100&lt;=2,MAX(AN100:AP102),"-")</f>
        <v>0</v>
      </c>
      <c r="AR100" s="291">
        <f>AQ100+0.25</f>
        <v>0.25</v>
      </c>
    </row>
    <row r="101" spans="1:46" ht="60" customHeight="1" thickBot="1" x14ac:dyDescent="0.25">
      <c r="A101" s="12"/>
      <c r="B101" s="460"/>
      <c r="C101" s="436"/>
      <c r="D101" s="451"/>
      <c r="E101" s="377"/>
      <c r="F101" s="379"/>
      <c r="G101" s="398"/>
      <c r="H101" s="305" t="s">
        <v>381</v>
      </c>
      <c r="I101" s="303"/>
      <c r="J101" s="303"/>
      <c r="K101" s="303"/>
      <c r="L101" s="303"/>
      <c r="M101" s="303"/>
      <c r="N101" s="303"/>
      <c r="O101" s="303"/>
      <c r="P101" s="303"/>
      <c r="Q101" s="397"/>
      <c r="R101" s="184" t="s">
        <v>168</v>
      </c>
      <c r="S101" s="447"/>
      <c r="T101" s="117"/>
      <c r="U101" s="117"/>
      <c r="V101" s="218">
        <f>IF(R101="有",1,0)</f>
        <v>0</v>
      </c>
      <c r="W101" s="312"/>
      <c r="X101" s="219">
        <f>X100</f>
        <v>0</v>
      </c>
      <c r="Y101" s="220">
        <f t="shared" ref="Y101:AF101" si="15">Y100</f>
        <v>1</v>
      </c>
      <c r="Z101" s="221" t="str">
        <f t="shared" si="15"/>
        <v>-</v>
      </c>
      <c r="AA101" s="222">
        <f t="shared" si="15"/>
        <v>1</v>
      </c>
      <c r="AB101" s="221" t="str">
        <f t="shared" si="15"/>
        <v>-</v>
      </c>
      <c r="AC101" s="222">
        <f t="shared" si="15"/>
        <v>1</v>
      </c>
      <c r="AD101" s="223">
        <f t="shared" si="15"/>
        <v>3</v>
      </c>
      <c r="AE101" s="223">
        <f t="shared" si="15"/>
        <v>0</v>
      </c>
      <c r="AF101" s="176" t="str">
        <f t="shared" si="15"/>
        <v>-</v>
      </c>
      <c r="AG101" s="226">
        <v>1</v>
      </c>
      <c r="AH101" s="226">
        <v>1</v>
      </c>
      <c r="AI101" s="226">
        <v>1</v>
      </c>
      <c r="AK101" s="227">
        <f>IF($V101*X101*$AD101=3,AG101,0)</f>
        <v>0</v>
      </c>
      <c r="AL101" s="227">
        <f>IF($V101*X101*$AD101=2,AH101,0)</f>
        <v>0</v>
      </c>
      <c r="AM101" s="227">
        <f>IF(OR($V101*$X101*$AD101=1,$V101*$X101*$AE101=4),AI101,0)</f>
        <v>0</v>
      </c>
      <c r="AN101" s="180">
        <f>IF('1.基本データ(このシートは削除しないこと！)'!$H$17=2,MAX(AK101:AL101),0)</f>
        <v>0</v>
      </c>
      <c r="AO101" s="180">
        <f>IF('1.基本データ(このシートは削除しないこと！)'!$H$17=3,MAX(AK101:AM101),0)</f>
        <v>0</v>
      </c>
      <c r="AP101" s="181">
        <f>IF(AND('1.基本データ(このシートは削除しないこと！)'!$H$17=4,AF101="県内"),V101*AI101,0)</f>
        <v>0</v>
      </c>
      <c r="AQ101" s="289"/>
      <c r="AR101" s="292"/>
      <c r="AS101" s="19" t="str">
        <f>IF(AS102=1,MAX(AQ100:AR100),IF(AS102=2,MIN(AQ100:AR100),"-"))</f>
        <v>-</v>
      </c>
    </row>
    <row r="102" spans="1:46" ht="60" customHeight="1" thickBot="1" x14ac:dyDescent="0.25">
      <c r="A102" s="12"/>
      <c r="B102" s="460"/>
      <c r="C102" s="437"/>
      <c r="D102" s="452"/>
      <c r="E102" s="440"/>
      <c r="F102" s="462"/>
      <c r="G102" s="267" t="s">
        <v>168</v>
      </c>
      <c r="H102" s="448" t="s">
        <v>360</v>
      </c>
      <c r="I102" s="449"/>
      <c r="J102" s="449"/>
      <c r="K102" s="449"/>
      <c r="L102" s="449"/>
      <c r="M102" s="449"/>
      <c r="N102" s="449"/>
      <c r="O102" s="449"/>
      <c r="P102" s="449"/>
      <c r="Q102" s="449"/>
      <c r="R102" s="184" t="s">
        <v>168</v>
      </c>
      <c r="S102" s="428"/>
      <c r="T102" s="117"/>
      <c r="U102" s="117"/>
      <c r="V102" s="68">
        <f t="shared" si="11"/>
        <v>0</v>
      </c>
      <c r="W102" s="313"/>
      <c r="X102" s="163">
        <f>X100</f>
        <v>0</v>
      </c>
      <c r="Y102" s="129">
        <f>Y100</f>
        <v>1</v>
      </c>
      <c r="Z102" s="112" t="str">
        <f>Z100</f>
        <v>-</v>
      </c>
      <c r="AA102" s="113">
        <f>AA100</f>
        <v>1</v>
      </c>
      <c r="AB102" s="112" t="str">
        <f t="shared" ref="AB102:AE102" si="16">AB100</f>
        <v>-</v>
      </c>
      <c r="AC102" s="113">
        <f t="shared" si="16"/>
        <v>1</v>
      </c>
      <c r="AD102" s="114">
        <f t="shared" si="16"/>
        <v>3</v>
      </c>
      <c r="AE102" s="114">
        <f t="shared" si="16"/>
        <v>0</v>
      </c>
      <c r="AF102" s="176" t="str">
        <f>AF100</f>
        <v>-</v>
      </c>
      <c r="AG102" s="225">
        <v>0.75</v>
      </c>
      <c r="AH102" s="225">
        <v>0.75</v>
      </c>
      <c r="AI102" s="225">
        <v>0.75</v>
      </c>
      <c r="AK102" s="131">
        <f>IF($V102*X102*$AD102=3,AG102,0)</f>
        <v>0</v>
      </c>
      <c r="AL102" s="131">
        <f>IF($V102*X102*$AD102=2,AH102,0)</f>
        <v>0</v>
      </c>
      <c r="AM102" s="131">
        <f>IF(OR($V102*$X102*$AD102=1,$V102*$X102*$AE102=4),AI102,0)</f>
        <v>0</v>
      </c>
      <c r="AN102" s="233">
        <f>IF('1.基本データ(このシートは削除しないこと！)'!$H$17=2,MAX(AK102:AL102),0)</f>
        <v>0</v>
      </c>
      <c r="AO102" s="233">
        <f>IF('1.基本データ(このシートは削除しないこと！)'!$H$17=3,MAX(AK102:AM102),0)</f>
        <v>0</v>
      </c>
      <c r="AP102" s="234">
        <f>IF(AND('1.基本データ(このシートは削除しないこと！)'!$H$17=4,AF102="県内"),V102*AI102,0)</f>
        <v>0</v>
      </c>
      <c r="AQ102" s="290"/>
      <c r="AR102" s="293"/>
      <c r="AS102" s="193">
        <f>IF(G102=リスト!Q4,1,IF(G102=リスト!Q5,2,0))</f>
        <v>0</v>
      </c>
      <c r="AT102" s="1">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RUkYAl+5rgRNBfQK64DptsCsf8UGYjxnKVBt2lHVokylBFCUMPGHmvURJ2xTtzB3IWH/crhaczKTaWjztbHDkQ==" saltValue="cE/cKQ88V9n6aWN5QQ1pvw==" spinCount="100000" sheet="1" objects="1" scenarios="1"/>
  <mergeCells count="174">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B73:S73"/>
    <mergeCell ref="B78:D78"/>
    <mergeCell ref="B72:S72"/>
    <mergeCell ref="B76:D76"/>
    <mergeCell ref="E76:R76"/>
    <mergeCell ref="R67:R68"/>
    <mergeCell ref="S67:S68"/>
    <mergeCell ref="K83:Q83"/>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K85:Q85"/>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F63:F66"/>
    <mergeCell ref="L55:M55"/>
    <mergeCell ref="O55:P55"/>
    <mergeCell ref="R64:R66"/>
    <mergeCell ref="G51:S51"/>
    <mergeCell ref="G56:H56"/>
    <mergeCell ref="G55:H55"/>
    <mergeCell ref="G57:S57"/>
    <mergeCell ref="G60:Q60"/>
    <mergeCell ref="G58:Q58"/>
    <mergeCell ref="S52:S54"/>
    <mergeCell ref="I52:Q52"/>
    <mergeCell ref="I53:Q53"/>
    <mergeCell ref="M54:O54"/>
    <mergeCell ref="K66:L6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L67:M67"/>
    <mergeCell ref="O67:P67"/>
    <mergeCell ref="I64:L64"/>
    <mergeCell ref="N64:Q64"/>
    <mergeCell ref="E55:E57"/>
    <mergeCell ref="F55:F57"/>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s>
  <phoneticPr fontId="35"/>
  <conditionalFormatting sqref="E98:F98">
    <cfRule type="expression" dxfId="13" priority="84">
      <formula>#REF!=0</formula>
    </cfRule>
  </conditionalFormatting>
  <conditionalFormatting sqref="F98">
    <cfRule type="expression" dxfId="12" priority="85">
      <formula>#REF!&gt;2</formula>
    </cfRule>
  </conditionalFormatting>
  <conditionalFormatting sqref="F100:G100 F101:F102">
    <cfRule type="expression" dxfId="11" priority="156">
      <formula>#REF!=2</formula>
    </cfRule>
  </conditionalFormatting>
  <conditionalFormatting sqref="H100:P102">
    <cfRule type="expression" dxfId="10" priority="3">
      <formula>#REF!=0</formula>
    </cfRule>
    <cfRule type="expression" dxfId="9" priority="4">
      <formula>#REF!=2</formula>
    </cfRule>
    <cfRule type="expression" dxfId="8" priority="5">
      <formula>#REF!&gt;2</formula>
    </cfRule>
  </conditionalFormatting>
  <conditionalFormatting sqref="K83 H93:H95 G96:G99">
    <cfRule type="expression" dxfId="7" priority="97">
      <formula>#REF!&gt;2</formula>
    </cfRule>
  </conditionalFormatting>
  <conditionalFormatting sqref="K83">
    <cfRule type="expression" dxfId="6" priority="96">
      <formula>#REF!=0</formula>
    </cfRule>
  </conditionalFormatting>
  <conditionalFormatting sqref="K86 E91:G91 H93:H95 G96:G99">
    <cfRule type="expression" dxfId="5" priority="90">
      <formula>#REF!=0</formula>
    </cfRule>
  </conditionalFormatting>
  <conditionalFormatting sqref="K86">
    <cfRule type="expression" dxfId="4" priority="91">
      <formula>#REF!&gt;2</formula>
    </cfRule>
  </conditionalFormatting>
  <conditionalFormatting sqref="R91:R102 F92 E93:G93 E96:F96 E100:G100 E101:F101 F102">
    <cfRule type="expression" dxfId="3" priority="143">
      <formula>#REF!=0</formula>
    </cfRule>
  </conditionalFormatting>
  <conditionalFormatting sqref="R91:R102 F93:G93 F96 F100:G100 F101:F102">
    <cfRule type="expression" dxfId="2" priority="161">
      <formula>#REF!&gt;2</formula>
    </cfRule>
  </conditionalFormatting>
  <conditionalFormatting sqref="BE94">
    <cfRule type="expression" dxfId="1" priority="9">
      <formula>#REF!=0</formula>
    </cfRule>
    <cfRule type="expression" dxfId="0" priority="10">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 type="list" allowBlank="1" showInputMessage="1" showErrorMessage="1">
          <x14:formula1>
            <xm:f>リスト!$G$4:$G$6</xm:f>
          </x14:formula1>
          <xm:sqref>S69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workbookViewId="0">
      <selection activeCell="A3" sqref="A3"/>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137</v>
      </c>
      <c r="H3" s="2" t="s">
        <v>121</v>
      </c>
      <c r="I3" s="2" t="s">
        <v>16</v>
      </c>
      <c r="K3" s="3" t="s">
        <v>17</v>
      </c>
      <c r="L3" s="2" t="s">
        <v>18</v>
      </c>
      <c r="M3" s="2" t="s">
        <v>19</v>
      </c>
      <c r="N3" s="2" t="s">
        <v>223</v>
      </c>
      <c r="O3" s="2" t="s">
        <v>260</v>
      </c>
      <c r="Q3" s="2" t="s">
        <v>333</v>
      </c>
    </row>
    <row r="4" spans="1:17" x14ac:dyDescent="0.2">
      <c r="A4" s="2" t="s">
        <v>38</v>
      </c>
      <c r="B4" s="2" t="s">
        <v>34</v>
      </c>
      <c r="E4" s="2" t="s">
        <v>20</v>
      </c>
      <c r="F4" s="2" t="s">
        <v>303</v>
      </c>
      <c r="G4" s="2" t="s">
        <v>303</v>
      </c>
      <c r="H4" s="2" t="s">
        <v>335</v>
      </c>
      <c r="I4" s="2" t="s">
        <v>170</v>
      </c>
      <c r="K4" s="2" t="s">
        <v>196</v>
      </c>
      <c r="L4" s="2" t="s">
        <v>23</v>
      </c>
      <c r="M4" s="2" t="s">
        <v>24</v>
      </c>
      <c r="N4" s="2" t="s">
        <v>224</v>
      </c>
      <c r="O4" s="2" t="s">
        <v>328</v>
      </c>
      <c r="Q4" s="2" t="s">
        <v>331</v>
      </c>
    </row>
    <row r="5" spans="1:17" x14ac:dyDescent="0.2">
      <c r="A5" s="2" t="s">
        <v>37</v>
      </c>
      <c r="B5" s="2" t="s">
        <v>35</v>
      </c>
      <c r="E5" s="2" t="s">
        <v>26</v>
      </c>
      <c r="F5" s="2" t="s">
        <v>302</v>
      </c>
      <c r="G5" s="2" t="s">
        <v>302</v>
      </c>
      <c r="H5" s="2" t="s">
        <v>122</v>
      </c>
      <c r="I5" s="2" t="s">
        <v>3</v>
      </c>
      <c r="K5" s="2" t="s">
        <v>335</v>
      </c>
      <c r="L5" s="2" t="s">
        <v>28</v>
      </c>
      <c r="M5" s="2" t="s">
        <v>335</v>
      </c>
      <c r="N5" s="2" t="s">
        <v>25</v>
      </c>
      <c r="O5" s="2" t="s">
        <v>329</v>
      </c>
      <c r="Q5" s="2" t="s">
        <v>332</v>
      </c>
    </row>
    <row r="6" spans="1:17" x14ac:dyDescent="0.2">
      <c r="A6" s="2" t="s">
        <v>301</v>
      </c>
      <c r="B6" s="2" t="s">
        <v>4</v>
      </c>
      <c r="E6" s="2" t="s">
        <v>29</v>
      </c>
      <c r="F6" s="2" t="s">
        <v>135</v>
      </c>
      <c r="G6" s="2" t="s">
        <v>199</v>
      </c>
      <c r="H6" s="2" t="s">
        <v>123</v>
      </c>
      <c r="I6" s="2" t="s">
        <v>335</v>
      </c>
      <c r="L6" s="2" t="s">
        <v>335</v>
      </c>
      <c r="N6" s="2" t="s">
        <v>3</v>
      </c>
      <c r="O6" s="2" t="s">
        <v>335</v>
      </c>
      <c r="Q6" s="2" t="s">
        <v>335</v>
      </c>
    </row>
    <row r="7" spans="1:17" x14ac:dyDescent="0.2">
      <c r="B7" s="2" t="s">
        <v>36</v>
      </c>
      <c r="E7" s="2" t="s">
        <v>335</v>
      </c>
      <c r="F7" s="2" t="s">
        <v>335</v>
      </c>
      <c r="H7" s="2" t="s">
        <v>174</v>
      </c>
      <c r="N7" s="2" t="s">
        <v>335</v>
      </c>
    </row>
    <row r="8" spans="1:17" x14ac:dyDescent="0.2">
      <c r="H8" s="2" t="s">
        <v>175</v>
      </c>
    </row>
    <row r="9" spans="1:17" x14ac:dyDescent="0.2">
      <c r="H9" s="2" t="s">
        <v>176</v>
      </c>
      <c r="K9" s="2" t="s">
        <v>197</v>
      </c>
    </row>
    <row r="10" spans="1:17" x14ac:dyDescent="0.2">
      <c r="H10" s="2" t="s">
        <v>177</v>
      </c>
      <c r="K10" s="2" t="s">
        <v>198</v>
      </c>
    </row>
    <row r="11" spans="1:17" x14ac:dyDescent="0.2">
      <c r="H11" s="2" t="s">
        <v>178</v>
      </c>
      <c r="K11" s="2" t="s">
        <v>200</v>
      </c>
    </row>
    <row r="12" spans="1:17" x14ac:dyDescent="0.2">
      <c r="H12" s="2" t="s">
        <v>179</v>
      </c>
      <c r="K12" s="2" t="s">
        <v>335</v>
      </c>
    </row>
    <row r="13" spans="1:17" x14ac:dyDescent="0.2">
      <c r="H13" s="2" t="s">
        <v>180</v>
      </c>
    </row>
    <row r="14" spans="1:17" x14ac:dyDescent="0.2">
      <c r="H14" s="2" t="s">
        <v>181</v>
      </c>
    </row>
    <row r="15" spans="1:17" x14ac:dyDescent="0.2">
      <c r="H15" s="2" t="s">
        <v>182</v>
      </c>
    </row>
    <row r="16" spans="1:17" x14ac:dyDescent="0.2">
      <c r="H16" s="2" t="s">
        <v>183</v>
      </c>
    </row>
    <row r="17" spans="8:8" x14ac:dyDescent="0.2">
      <c r="H17" s="2" t="s">
        <v>184</v>
      </c>
    </row>
    <row r="18" spans="8:8" x14ac:dyDescent="0.2">
      <c r="H18" s="2" t="s">
        <v>185</v>
      </c>
    </row>
    <row r="19" spans="8:8" x14ac:dyDescent="0.2">
      <c r="H19" s="2" t="s">
        <v>186</v>
      </c>
    </row>
    <row r="20" spans="8:8" x14ac:dyDescent="0.2">
      <c r="H20" s="2" t="s">
        <v>187</v>
      </c>
    </row>
    <row r="21" spans="8:8" x14ac:dyDescent="0.2">
      <c r="H21" s="2" t="s">
        <v>188</v>
      </c>
    </row>
    <row r="22" spans="8:8" x14ac:dyDescent="0.2">
      <c r="H22" s="2" t="s">
        <v>189</v>
      </c>
    </row>
  </sheetData>
  <sheetProtection algorithmName="SHA-512" hashValue="dBzfn6DhBSjbPzde0Wmk3I90thcQNf8HvocZV/Q8YiNAHC7mgOD45OHQh0Jb9oR9eNh1q849XBS5coNaPiLjcQ==" saltValue="RISsJa0OfYJJbYo84qyvRg==" spinCount="10000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topLeftCell="A45" zoomScaleNormal="100" zoomScaleSheetLayoutView="100" workbookViewId="0">
      <selection activeCell="D65" sqref="D65"/>
    </sheetView>
  </sheetViews>
  <sheetFormatPr defaultRowHeight="13.2" x14ac:dyDescent="0.2"/>
  <cols>
    <col min="3" max="3" width="29.21875" customWidth="1"/>
    <col min="4" max="4" width="21" customWidth="1"/>
    <col min="5" max="5" width="23.109375" customWidth="1"/>
  </cols>
  <sheetData>
    <row r="2" spans="2:9" ht="39" customHeight="1" x14ac:dyDescent="0.2">
      <c r="B2" s="4" t="s">
        <v>142</v>
      </c>
      <c r="C2" s="4" t="s">
        <v>118</v>
      </c>
      <c r="D2" s="5" t="s">
        <v>141</v>
      </c>
      <c r="E2" s="4" t="s">
        <v>119</v>
      </c>
      <c r="F2" s="133" t="s">
        <v>284</v>
      </c>
      <c r="G2" s="4" t="s">
        <v>33</v>
      </c>
      <c r="H2" s="1" t="s">
        <v>192</v>
      </c>
      <c r="I2" s="1"/>
    </row>
    <row r="3" spans="2:9" x14ac:dyDescent="0.2">
      <c r="B3" s="6">
        <v>1</v>
      </c>
      <c r="C3" s="6" t="s">
        <v>61</v>
      </c>
      <c r="D3" s="6" t="s">
        <v>40</v>
      </c>
      <c r="E3" s="6" t="s">
        <v>56</v>
      </c>
      <c r="F3" s="1" t="s">
        <v>4</v>
      </c>
      <c r="G3" s="6" t="s">
        <v>34</v>
      </c>
      <c r="H3" s="1" t="s">
        <v>145</v>
      </c>
      <c r="I3" s="1">
        <v>2</v>
      </c>
    </row>
    <row r="4" spans="2:9" x14ac:dyDescent="0.2">
      <c r="B4" s="6">
        <v>2</v>
      </c>
      <c r="C4" s="6" t="s">
        <v>62</v>
      </c>
      <c r="D4" s="6" t="s">
        <v>40</v>
      </c>
      <c r="E4" s="6" t="s">
        <v>56</v>
      </c>
      <c r="F4" s="1" t="s">
        <v>4</v>
      </c>
      <c r="G4" s="6" t="s">
        <v>35</v>
      </c>
      <c r="H4" s="1" t="s">
        <v>146</v>
      </c>
      <c r="I4" s="1">
        <v>3</v>
      </c>
    </row>
    <row r="5" spans="2:9" x14ac:dyDescent="0.2">
      <c r="B5" s="6">
        <v>3</v>
      </c>
      <c r="C5" s="6" t="s">
        <v>63</v>
      </c>
      <c r="D5" s="6" t="s">
        <v>41</v>
      </c>
      <c r="E5" s="6" t="s">
        <v>56</v>
      </c>
      <c r="F5" s="1" t="s">
        <v>4</v>
      </c>
      <c r="G5" s="6" t="s">
        <v>4</v>
      </c>
      <c r="H5" s="1" t="s">
        <v>146</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335</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6" t="s">
        <v>57</v>
      </c>
      <c r="F23" s="1" t="s">
        <v>4</v>
      </c>
    </row>
    <row r="24" spans="2:6" x14ac:dyDescent="0.2">
      <c r="B24" s="6">
        <v>22</v>
      </c>
      <c r="C24" s="6" t="s">
        <v>82</v>
      </c>
      <c r="D24" s="6" t="s">
        <v>47</v>
      </c>
      <c r="E24" s="6" t="s">
        <v>57</v>
      </c>
      <c r="F24" s="1" t="s">
        <v>4</v>
      </c>
    </row>
    <row r="25" spans="2:6" x14ac:dyDescent="0.2">
      <c r="B25" s="6">
        <v>23</v>
      </c>
      <c r="C25" s="6" t="s">
        <v>83</v>
      </c>
      <c r="D25" s="6" t="s">
        <v>47</v>
      </c>
      <c r="E25" s="6" t="s">
        <v>57</v>
      </c>
      <c r="F25" s="1" t="s">
        <v>4</v>
      </c>
    </row>
    <row r="26" spans="2:6" x14ac:dyDescent="0.2">
      <c r="B26" s="6">
        <v>24</v>
      </c>
      <c r="C26" s="6" t="s">
        <v>84</v>
      </c>
      <c r="D26" s="6" t="s">
        <v>47</v>
      </c>
      <c r="E26" s="6" t="s">
        <v>57</v>
      </c>
      <c r="F26" s="1" t="s">
        <v>4</v>
      </c>
    </row>
    <row r="27" spans="2:6" x14ac:dyDescent="0.2">
      <c r="B27" s="6">
        <v>25</v>
      </c>
      <c r="C27" s="6" t="s">
        <v>85</v>
      </c>
      <c r="D27" s="6" t="s">
        <v>47</v>
      </c>
      <c r="E27" s="6" t="s">
        <v>57</v>
      </c>
      <c r="F27" s="1" t="s">
        <v>4</v>
      </c>
    </row>
    <row r="28" spans="2:6" x14ac:dyDescent="0.2">
      <c r="B28" s="6">
        <v>26</v>
      </c>
      <c r="C28" s="6" t="s">
        <v>86</v>
      </c>
      <c r="D28" s="6" t="s">
        <v>49</v>
      </c>
      <c r="E28" s="6" t="s">
        <v>57</v>
      </c>
      <c r="F28" s="1" t="s">
        <v>4</v>
      </c>
    </row>
    <row r="29" spans="2:6" x14ac:dyDescent="0.2">
      <c r="B29" s="6">
        <v>27</v>
      </c>
      <c r="C29" s="6" t="s">
        <v>87</v>
      </c>
      <c r="D29" s="6" t="s">
        <v>49</v>
      </c>
      <c r="E29" s="6" t="s">
        <v>57</v>
      </c>
      <c r="F29" s="1" t="s">
        <v>4</v>
      </c>
    </row>
    <row r="30" spans="2:6" x14ac:dyDescent="0.2">
      <c r="B30" s="6">
        <v>28</v>
      </c>
      <c r="C30" s="6" t="s">
        <v>88</v>
      </c>
      <c r="D30" s="6" t="s">
        <v>49</v>
      </c>
      <c r="E30" s="6" t="s">
        <v>57</v>
      </c>
      <c r="F30" s="1" t="s">
        <v>4</v>
      </c>
    </row>
    <row r="31" spans="2:6" x14ac:dyDescent="0.2">
      <c r="B31" s="6">
        <v>29</v>
      </c>
      <c r="C31" s="6" t="s">
        <v>89</v>
      </c>
      <c r="D31" s="6" t="s">
        <v>49</v>
      </c>
      <c r="E31" s="6" t="s">
        <v>57</v>
      </c>
      <c r="F31" s="1" t="s">
        <v>4</v>
      </c>
    </row>
    <row r="32" spans="2:6" x14ac:dyDescent="0.2">
      <c r="B32" s="6">
        <v>30</v>
      </c>
      <c r="C32" s="6" t="s">
        <v>90</v>
      </c>
      <c r="D32" s="6" t="s">
        <v>50</v>
      </c>
      <c r="E32" s="6" t="s">
        <v>58</v>
      </c>
      <c r="F32" s="1" t="s">
        <v>4</v>
      </c>
    </row>
    <row r="33" spans="2:6" x14ac:dyDescent="0.2">
      <c r="B33" s="6">
        <v>31</v>
      </c>
      <c r="C33" s="6" t="s">
        <v>91</v>
      </c>
      <c r="D33" s="6" t="s">
        <v>50</v>
      </c>
      <c r="E33" s="6" t="s">
        <v>58</v>
      </c>
      <c r="F33" s="1" t="s">
        <v>4</v>
      </c>
    </row>
    <row r="34" spans="2:6" x14ac:dyDescent="0.2">
      <c r="B34" s="6">
        <v>32</v>
      </c>
      <c r="C34" s="6" t="s">
        <v>92</v>
      </c>
      <c r="D34" s="6" t="s">
        <v>50</v>
      </c>
      <c r="E34" s="6" t="s">
        <v>58</v>
      </c>
      <c r="F34" s="1" t="s">
        <v>4</v>
      </c>
    </row>
    <row r="35" spans="2:6" x14ac:dyDescent="0.2">
      <c r="B35" s="6">
        <v>33</v>
      </c>
      <c r="C35" s="6" t="s">
        <v>93</v>
      </c>
      <c r="D35" s="6" t="s">
        <v>50</v>
      </c>
      <c r="E35" s="6" t="s">
        <v>58</v>
      </c>
      <c r="F35" s="1" t="s">
        <v>4</v>
      </c>
    </row>
    <row r="36" spans="2:6" x14ac:dyDescent="0.2">
      <c r="B36" s="6">
        <v>34</v>
      </c>
      <c r="C36" s="6" t="s">
        <v>94</v>
      </c>
      <c r="D36" s="6" t="s">
        <v>51</v>
      </c>
      <c r="E36" s="6" t="s">
        <v>58</v>
      </c>
      <c r="F36" s="1" t="s">
        <v>4</v>
      </c>
    </row>
    <row r="37" spans="2:6" x14ac:dyDescent="0.2">
      <c r="B37" s="6">
        <v>35</v>
      </c>
      <c r="C37" s="6" t="s">
        <v>95</v>
      </c>
      <c r="D37" s="6" t="s">
        <v>51</v>
      </c>
      <c r="E37" s="6" t="s">
        <v>58</v>
      </c>
      <c r="F37" s="1" t="s">
        <v>4</v>
      </c>
    </row>
    <row r="38" spans="2:6" x14ac:dyDescent="0.2">
      <c r="B38" s="6">
        <v>36</v>
      </c>
      <c r="C38" s="6" t="s">
        <v>96</v>
      </c>
      <c r="D38" s="6" t="s">
        <v>51</v>
      </c>
      <c r="E38" s="6" t="s">
        <v>58</v>
      </c>
      <c r="F38" s="1" t="s">
        <v>4</v>
      </c>
    </row>
    <row r="39" spans="2:6" x14ac:dyDescent="0.2">
      <c r="B39" s="6">
        <v>37</v>
      </c>
      <c r="C39" s="6" t="s">
        <v>97</v>
      </c>
      <c r="D39" s="6" t="s">
        <v>51</v>
      </c>
      <c r="E39" s="6"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199</v>
      </c>
      <c r="D64" s="1" t="s">
        <v>199</v>
      </c>
      <c r="E64" s="1" t="s">
        <v>335</v>
      </c>
      <c r="F64" s="1" t="s">
        <v>336</v>
      </c>
    </row>
    <row r="65" spans="2:6" x14ac:dyDescent="0.2">
      <c r="B65" s="1"/>
      <c r="C65" s="1" t="s">
        <v>143</v>
      </c>
      <c r="D65" s="1" t="s">
        <v>143</v>
      </c>
      <c r="E65" s="1" t="s">
        <v>143</v>
      </c>
      <c r="F65" s="1" t="s">
        <v>143</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佐久間 友里絵</dc:creator>
  <cp:lastModifiedBy>佐久間 友里絵</cp:lastModifiedBy>
  <cp:lastPrinted>2024-03-23T10:45:39Z</cp:lastPrinted>
  <dcterms:created xsi:type="dcterms:W3CDTF">2018-06-11T09:00:18Z</dcterms:created>
  <dcterms:modified xsi:type="dcterms:W3CDTF">2025-07-16T02:41:25Z</dcterms:modified>
</cp:coreProperties>
</file>