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70" windowWidth="7770" windowHeight="7995" tabRatio="774" activeTab="0"/>
  </bookViews>
  <sheets>
    <sheet name="類型別市町村の概要 (単純平均)" sheetId="1" r:id="rId1"/>
    <sheet name="住基人口" sheetId="2" state="hidden" r:id="rId2"/>
    <sheet name="財政力指数等" sheetId="3" state="hidden" r:id="rId3"/>
    <sheet name="経常収支比率" sheetId="4" state="hidden" r:id="rId4"/>
    <sheet name="公債費比率" sheetId="5" state="hidden" r:id="rId5"/>
    <sheet name="将来負担比率" sheetId="6" state="hidden" r:id="rId6"/>
    <sheet name="類型" sheetId="7" state="hidden" r:id="rId7"/>
    <sheet name="国調就業" sheetId="8" state="hidden" r:id="rId8"/>
  </sheets>
  <externalReferences>
    <externalReference r:id="rId11"/>
    <externalReference r:id="rId12"/>
  </externalReferences>
  <definedNames>
    <definedName name="_xlnm._FilterDatabase" localSheetId="7" hidden="1">'国調就業'!$A$3:$R$66</definedName>
    <definedName name="data" localSheetId="2">'[2]H13ﾊﾞｯｸﾃﾞｰﾀ'!$B$3:$D$93</definedName>
    <definedName name="data">'[1]H13ﾊﾞｯｸﾃﾞｰﾀ'!$B$3:$D$93</definedName>
    <definedName name="_xlnm.Print_Area" localSheetId="2">'財政力指数等'!$B$1:$L$51</definedName>
    <definedName name="_xlnm.Print_Area" localSheetId="0">'類型別市町村の概要 (単純平均)'!$A$1:$AB$73</definedName>
    <definedName name="_xlnm.Print_Titles" localSheetId="3">'経常収支比率'!$1:$4</definedName>
    <definedName name="_xlnm.Print_Titles" localSheetId="0">'類型別市町村の概要 (単純平均)'!$1:$7</definedName>
    <definedName name="参考資料">#REF!</definedName>
    <definedName name="住基月報集計表">#REF!</definedName>
  </definedNames>
  <calcPr fullCalcOnLoad="1"/>
</workbook>
</file>

<file path=xl/comments7.xml><?xml version="1.0" encoding="utf-8"?>
<comments xmlns="http://schemas.openxmlformats.org/spreadsheetml/2006/main">
  <authors>
    <author>install</author>
  </authors>
  <commentList>
    <comment ref="C1" authorId="0">
      <text>
        <r>
          <rPr>
            <b/>
            <sz val="9"/>
            <rFont val="ＭＳ Ｐゴシック"/>
            <family val="3"/>
          </rPr>
          <t xml:space="preserve">☆　05_類型区分別市町村一覧表にデータあり。
</t>
        </r>
      </text>
    </comment>
  </commentList>
</comments>
</file>

<file path=xl/comments8.xml><?xml version="1.0" encoding="utf-8"?>
<comments xmlns="http://schemas.openxmlformats.org/spreadsheetml/2006/main">
  <authors>
    <author>install</author>
  </authors>
  <commentList>
    <comment ref="L1" authorId="0">
      <text>
        <r>
          <rPr>
            <b/>
            <sz val="9"/>
            <rFont val="ＭＳ Ｐゴシック"/>
            <family val="3"/>
          </rPr>
          <t>交付税データ</t>
        </r>
      </text>
    </comment>
    <comment ref="Q1" authorId="0">
      <text>
        <r>
          <rPr>
            <b/>
            <sz val="9"/>
            <rFont val="ＭＳ Ｐゴシック"/>
            <family val="3"/>
          </rPr>
          <t>交付税データ</t>
        </r>
      </text>
    </comment>
    <comment ref="R1" authorId="0">
      <text>
        <r>
          <rPr>
            <b/>
            <sz val="9"/>
            <rFont val="ＭＳ Ｐゴシック"/>
            <family val="3"/>
          </rPr>
          <t>交付税データ</t>
        </r>
      </text>
    </comment>
    <comment ref="O1" authorId="0">
      <text>
        <r>
          <rPr>
            <b/>
            <sz val="9"/>
            <rFont val="ＭＳ Ｐゴシック"/>
            <family val="3"/>
          </rPr>
          <t>変更なし</t>
        </r>
      </text>
    </comment>
    <comment ref="P1" authorId="0">
      <text>
        <r>
          <rPr>
            <b/>
            <sz val="9"/>
            <rFont val="ＭＳ Ｐゴシック"/>
            <family val="3"/>
          </rPr>
          <t>変更なし</t>
        </r>
      </text>
    </comment>
  </commentList>
</comments>
</file>

<file path=xl/sharedStrings.xml><?xml version="1.0" encoding="utf-8"?>
<sst xmlns="http://schemas.openxmlformats.org/spreadsheetml/2006/main" count="724" uniqueCount="315">
  <si>
    <t>福島市</t>
  </si>
  <si>
    <t>会津若松市</t>
  </si>
  <si>
    <t>郡山市</t>
  </si>
  <si>
    <t>いわき市</t>
  </si>
  <si>
    <t>白河市</t>
  </si>
  <si>
    <t>須賀川市</t>
  </si>
  <si>
    <t>喜多方市</t>
  </si>
  <si>
    <t>相馬市</t>
  </si>
  <si>
    <t>二本松市</t>
  </si>
  <si>
    <t>市　計</t>
  </si>
  <si>
    <t>桑折町</t>
  </si>
  <si>
    <t>伊達町</t>
  </si>
  <si>
    <t>国見町</t>
  </si>
  <si>
    <t>梁川町</t>
  </si>
  <si>
    <t>保原町</t>
  </si>
  <si>
    <t>霊山町</t>
  </si>
  <si>
    <t>月舘町</t>
  </si>
  <si>
    <t>川俣町</t>
  </si>
  <si>
    <t>飯野町</t>
  </si>
  <si>
    <t>大玉村</t>
  </si>
  <si>
    <t>鏡石町</t>
  </si>
  <si>
    <t>天栄村</t>
  </si>
  <si>
    <t>田島町</t>
  </si>
  <si>
    <t>下郷町</t>
  </si>
  <si>
    <t>舘岩村</t>
  </si>
  <si>
    <t>檜枝岐村</t>
  </si>
  <si>
    <t>伊南村</t>
  </si>
  <si>
    <t>南郷村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</si>
  <si>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</si>
  <si>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</si>
  <si>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</si>
  <si>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</si>
  <si>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</si>
  <si>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</si>
  <si>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</si>
  <si>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</si>
  <si>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</si>
  <si>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</si>
  <si>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</si>
  <si>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</si>
  <si>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</si>
  <si>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</si>
  <si>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</si>
  <si>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</si>
  <si>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</si>
  <si>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</si>
  <si>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</si>
  <si>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</si>
  <si>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</si>
  <si>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</si>
  <si>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</si>
  <si>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</si>
  <si>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</si>
  <si>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</si>
  <si>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</si>
  <si>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</si>
  <si>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</si>
  <si>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</si>
  <si>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</si>
  <si>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</si>
  <si>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</si>
  <si>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</si>
  <si>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</si>
  <si>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</si>
  <si>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</si>
  <si>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H12国勢調査</t>
  </si>
  <si>
    <t>市計</t>
  </si>
  <si>
    <t>合計</t>
  </si>
  <si>
    <t>就業者総数</t>
  </si>
  <si>
    <t>基準財政収入額</t>
  </si>
  <si>
    <t>基準財政需要額</t>
  </si>
  <si>
    <t>標準財政規模</t>
  </si>
  <si>
    <t>普通交付税</t>
  </si>
  <si>
    <t>番</t>
  </si>
  <si>
    <t>市町村名</t>
  </si>
  <si>
    <t>3年平均</t>
  </si>
  <si>
    <t>標準税収入額等</t>
  </si>
  <si>
    <t>計</t>
  </si>
  <si>
    <t>財政力指数</t>
  </si>
  <si>
    <t>号</t>
  </si>
  <si>
    <t>Ａ</t>
  </si>
  <si>
    <t>Ｂ</t>
  </si>
  <si>
    <t>Ｅ</t>
  </si>
  <si>
    <t>Ｆ</t>
  </si>
  <si>
    <t>(G+H+I)/3</t>
  </si>
  <si>
    <t>県単純平均</t>
  </si>
  <si>
    <t>基準財政収入額</t>
  </si>
  <si>
    <t>基準財政需要額</t>
  </si>
  <si>
    <t>00-01-05(単位：千円)</t>
  </si>
  <si>
    <t>00-01-06(単位：千円)</t>
  </si>
  <si>
    <t>00-01-09</t>
  </si>
  <si>
    <t>Ａ／Ｄ　　Ｇ</t>
  </si>
  <si>
    <t>Ｂ／Ｅ　　Ｈ</t>
  </si>
  <si>
    <t>Ｃ／Ｆ　　Ｉ</t>
  </si>
  <si>
    <t>市計</t>
  </si>
  <si>
    <t>合計</t>
  </si>
  <si>
    <t>　</t>
  </si>
  <si>
    <t>男</t>
  </si>
  <si>
    <t>人　　　口</t>
  </si>
  <si>
    <t>女</t>
  </si>
  <si>
    <t>計</t>
  </si>
  <si>
    <t>実質収支</t>
  </si>
  <si>
    <t>実質収支比率</t>
  </si>
  <si>
    <t>表</t>
  </si>
  <si>
    <t>行</t>
  </si>
  <si>
    <t>列</t>
  </si>
  <si>
    <t>人件費</t>
  </si>
  <si>
    <t>物件費</t>
  </si>
  <si>
    <t>維持補修費</t>
  </si>
  <si>
    <t>扶助費</t>
  </si>
  <si>
    <t>補助費等</t>
  </si>
  <si>
    <t>公債費</t>
  </si>
  <si>
    <t>積立金</t>
  </si>
  <si>
    <t>投資及び出資金・貸付金</t>
  </si>
  <si>
    <t>繰出金</t>
  </si>
  <si>
    <t>前年度繰上充用金</t>
  </si>
  <si>
    <t>経常的経費
充当の
一般財源
の額</t>
  </si>
  <si>
    <t>経常一般財源</t>
  </si>
  <si>
    <t>臨財債</t>
  </si>
  <si>
    <t>経常収支比率</t>
  </si>
  <si>
    <t>経常収支比率
(除､減税
補てん債､
臨財債)</t>
  </si>
  <si>
    <t>公債費比率</t>
  </si>
  <si>
    <t>準公債費比率</t>
  </si>
  <si>
    <t>起債制限比率</t>
  </si>
  <si>
    <t>単年度</t>
  </si>
  <si>
    <t>3ヶ年平均</t>
  </si>
  <si>
    <t>経常収支比率Ｂ</t>
  </si>
  <si>
    <t>経常収支比率Ａ</t>
  </si>
  <si>
    <t>　Ⅰ　類型別市町村の概要</t>
  </si>
  <si>
    <t>市町村名</t>
  </si>
  <si>
    <t>人　　　　　　　　口</t>
  </si>
  <si>
    <t>基準財政
需要額</t>
  </si>
  <si>
    <t>基準財政
収入額</t>
  </si>
  <si>
    <t>標準財政
規　　　模</t>
  </si>
  <si>
    <t>財政力指数</t>
  </si>
  <si>
    <t>実質収支
比　　　率</t>
  </si>
  <si>
    <t>経常収支
比率(A)</t>
  </si>
  <si>
    <t>経常収支
比率(B)</t>
  </si>
  <si>
    <t>公債費
比　　率</t>
  </si>
  <si>
    <t>準公債
費比率</t>
  </si>
  <si>
    <t>第1次
産業</t>
  </si>
  <si>
    <t>第2次
産業</t>
  </si>
  <si>
    <t>第3次
産業</t>
  </si>
  <si>
    <t>3年平均</t>
  </si>
  <si>
    <t>3ヵ年</t>
  </si>
  <si>
    <t>単年度</t>
  </si>
  <si>
    <t>人　口</t>
  </si>
  <si>
    <t>住基人口</t>
  </si>
  <si>
    <t>千円</t>
  </si>
  <si>
    <t>％</t>
  </si>
  <si>
    <t>人</t>
  </si>
  <si>
    <t>％</t>
  </si>
  <si>
    <t>県　計</t>
  </si>
  <si>
    <t>１２　平成１６年度基準財政収入額・基準財政需要額、財政力指数（平成１４～１６年度）　（00表関係）</t>
  </si>
  <si>
    <t>田村市</t>
  </si>
  <si>
    <t>田村市</t>
  </si>
  <si>
    <t>第１次</t>
  </si>
  <si>
    <t>第２次</t>
  </si>
  <si>
    <t>第３次</t>
  </si>
  <si>
    <t>面積</t>
  </si>
  <si>
    <t>市計</t>
  </si>
  <si>
    <t>H12国調人口</t>
  </si>
  <si>
    <t>市計</t>
  </si>
  <si>
    <t>町村計</t>
  </si>
  <si>
    <t>合計</t>
  </si>
  <si>
    <t>市計</t>
  </si>
  <si>
    <t>町村計</t>
  </si>
  <si>
    <t>合計</t>
  </si>
  <si>
    <t>類型</t>
  </si>
  <si>
    <t>H17国勢調査</t>
  </si>
  <si>
    <t>H17国調人口</t>
  </si>
  <si>
    <t>福島市</t>
  </si>
  <si>
    <t>会津若松市</t>
  </si>
  <si>
    <t>郡山市</t>
  </si>
  <si>
    <t>いわき市</t>
  </si>
  <si>
    <t xml:space="preserve">白河市 </t>
  </si>
  <si>
    <t>須賀川市</t>
  </si>
  <si>
    <t>喜多方市</t>
  </si>
  <si>
    <t>相馬市</t>
  </si>
  <si>
    <t>二本松市</t>
  </si>
  <si>
    <t>田村市</t>
  </si>
  <si>
    <t>南相馬市</t>
  </si>
  <si>
    <t>伊達市</t>
  </si>
  <si>
    <t>桑折町</t>
  </si>
  <si>
    <t>国見町</t>
  </si>
  <si>
    <t>川俣町</t>
  </si>
  <si>
    <t>飯野町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</si>
  <si>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</si>
  <si>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</si>
  <si>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</si>
  <si>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</si>
  <si>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</si>
  <si>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</si>
  <si>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</si>
  <si>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</si>
  <si>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</si>
  <si>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</si>
  <si>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</si>
  <si>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</si>
  <si>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</si>
  <si>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</si>
  <si>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</si>
  <si>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</si>
  <si>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</si>
  <si>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</si>
  <si>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</si>
  <si>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</si>
  <si>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</si>
  <si>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</si>
  <si>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</si>
  <si>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</si>
  <si>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</si>
  <si>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</si>
  <si>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</si>
  <si>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</si>
  <si>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</si>
  <si>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</si>
  <si>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</si>
  <si>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</si>
  <si>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</si>
  <si>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</si>
  <si>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</si>
  <si>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</si>
  <si>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</si>
  <si>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</si>
  <si>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</si>
  <si>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</si>
  <si>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</si>
  <si>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</si>
  <si>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</si>
  <si>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南相馬市</t>
  </si>
  <si>
    <t>伊達市</t>
  </si>
  <si>
    <t>檜枝岐村</t>
  </si>
  <si>
    <t>南会津町</t>
  </si>
  <si>
    <t>会津美里町</t>
  </si>
  <si>
    <t>南相馬市</t>
  </si>
  <si>
    <t>伊達市</t>
  </si>
  <si>
    <t>南会津町</t>
  </si>
  <si>
    <t>会津美里町</t>
  </si>
  <si>
    <t>Ⅱ－２</t>
  </si>
  <si>
    <t>Ⅲ－２</t>
  </si>
  <si>
    <t>Ⅱ－０</t>
  </si>
  <si>
    <t>Ⅰ－２</t>
  </si>
  <si>
    <t>Ⅰ－０</t>
  </si>
  <si>
    <t>Ⅳ－２</t>
  </si>
  <si>
    <t>Ⅲ－１</t>
  </si>
  <si>
    <t>Ⅰ－１</t>
  </si>
  <si>
    <t>Ⅱ－１</t>
  </si>
  <si>
    <t>実質公債費比率</t>
  </si>
  <si>
    <t>河東町</t>
  </si>
  <si>
    <t>白河市</t>
  </si>
  <si>
    <t>表郷村</t>
  </si>
  <si>
    <t>東村</t>
  </si>
  <si>
    <t>大信村</t>
  </si>
  <si>
    <t>喜多方市</t>
  </si>
  <si>
    <t>熱塩加納村</t>
  </si>
  <si>
    <t>塩川町</t>
  </si>
  <si>
    <t>山都町</t>
  </si>
  <si>
    <t>高郷村</t>
  </si>
  <si>
    <t>二本松市</t>
  </si>
  <si>
    <t>安達町</t>
  </si>
  <si>
    <t>岩代町</t>
  </si>
  <si>
    <t>東和町</t>
  </si>
  <si>
    <t>原町市</t>
  </si>
  <si>
    <t>鹿島町</t>
  </si>
  <si>
    <t>小高町</t>
  </si>
  <si>
    <t>南会津町</t>
  </si>
  <si>
    <t>H17国調</t>
  </si>
  <si>
    <t>第１次産業就業者数（17年国調）</t>
  </si>
  <si>
    <t>第２次産業就業者数（17年国調）</t>
  </si>
  <si>
    <t>第３次産業就業者数（1７年国調）</t>
  </si>
  <si>
    <t>会津高田町</t>
  </si>
  <si>
    <t>会津本郷町</t>
  </si>
  <si>
    <t>新鶴村</t>
  </si>
  <si>
    <t>起債制限
比率
（３ヵ年）</t>
  </si>
  <si>
    <t>実質公債費比率</t>
  </si>
  <si>
    <t>H17年度</t>
  </si>
  <si>
    <t>H17国勢調
査就業者数</t>
  </si>
  <si>
    <t>類型
区分
(参考）</t>
  </si>
  <si>
    <t>35</t>
  </si>
  <si>
    <t>本宮市</t>
  </si>
  <si>
    <t>B8233</t>
  </si>
  <si>
    <t>B8234</t>
  </si>
  <si>
    <t>B8235</t>
  </si>
  <si>
    <t>就業者数</t>
  </si>
  <si>
    <t>本宮市</t>
  </si>
  <si>
    <t>Ⅳ－１</t>
  </si>
  <si>
    <t>Ⅴ－１</t>
  </si>
  <si>
    <t>Ⅲ－０</t>
  </si>
  <si>
    <t>平成18年度</t>
  </si>
  <si>
    <t>住  民  基  本  台  帳  年  報(第１表よりコピー)</t>
  </si>
  <si>
    <t>財政力指数</t>
  </si>
  <si>
    <t>H18年度</t>
  </si>
  <si>
    <t>中核市</t>
  </si>
  <si>
    <t>第２編　平成19年度市町村別決算資料</t>
  </si>
  <si>
    <t>面積(ｋ㎡)
(H19.10.1)</t>
  </si>
  <si>
    <t>H19年度</t>
  </si>
  <si>
    <t>Ⅴ－２</t>
  </si>
  <si>
    <t>平成20年3月末現在</t>
  </si>
  <si>
    <t>-</t>
  </si>
  <si>
    <t>（各種比率については、平成19年度普通会計決算の概要（要旨）データより）</t>
  </si>
  <si>
    <t>減収補てん債特例分</t>
  </si>
  <si>
    <t>将来</t>
  </si>
  <si>
    <t>Ｃ</t>
  </si>
  <si>
    <t>平成17年度</t>
  </si>
  <si>
    <t>平成19年度</t>
  </si>
  <si>
    <t>Ｄ</t>
  </si>
  <si>
    <t>％</t>
  </si>
  <si>
    <t>将来負担比率</t>
  </si>
  <si>
    <t>将来負担比率</t>
  </si>
  <si>
    <t>県計</t>
  </si>
  <si>
    <t>※総務省ホームページ公表資料より</t>
  </si>
  <si>
    <t>市町村名</t>
  </si>
  <si>
    <t>　注２）　経常収支比率（Ａ）は、減収補てん債特例分及び臨時財政対策債を経常一般財源から除いたもの。経常収支比率（Ｂ）は、減収補てん債特例分及び臨時財政対策債を経常一般財源としたものである。</t>
  </si>
  <si>
    <t>　注１）　市計、町村計、県計欄の「財政力指数」「実質収支比率」「経常収支比率」「公債費比率」「準公債費比率」「起債制限比率」「実質公債費比率」「将来負担比率」は、合計数値を団体数で除したもの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</si>
</sst>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Red]\-#,##0.0"/>
    <numFmt numFmtId="179" formatCode="0.0000"/>
    <numFmt numFmtId="180" formatCode="0.000"/>
    <numFmt numFmtId="181" formatCode="0.0_ "/>
    <numFmt numFmtId="182" formatCode="0_ "/>
    <numFmt numFmtId="183" formatCode="0.00_ "/>
    <numFmt numFmtId="184" formatCode="0.000_ "/>
    <numFmt numFmtId="185" formatCode="0.0000_ "/>
    <numFmt numFmtId="186" formatCode="0.00000_ "/>
    <numFmt numFmtId="187" formatCode="#,##0.000;[Red]\-#,##0.000"/>
    <numFmt numFmtId="188" formatCode="#,##0_ "/>
    <numFmt numFmtId="189" formatCode="#,##0.00_ "/>
    <numFmt numFmtId="190" formatCode="#,##0.0_ "/>
    <numFmt numFmtId="191" formatCode="0.00_);[Red]\(0.00\)"/>
    <numFmt numFmtId="192" formatCode="#,##0_);[Red]\(#,##0\)"/>
    <numFmt numFmtId="193" formatCode="#,##0_ ;[Red]\-#,##0\ "/>
    <numFmt numFmtId="194" formatCode="0.000;&quot;△ &quot;0.000"/>
    <numFmt numFmtId="195" formatCode="#,##0.00000"/>
    <numFmt numFmtId="196" formatCode="#,##0.00000_ "/>
    <numFmt numFmtId="197" formatCode="#,##0;&quot;△ &quot;#,##0"/>
    <numFmt numFmtId="198" formatCode="#,###,###,###,##0"/>
    <numFmt numFmtId="199" formatCode="#,##0;[Red]&quot;△ &quot;#,##0"/>
    <numFmt numFmtId="200" formatCode="&quot;Yes&quot;;&quot;Yes&quot;;&quot;No&quot;"/>
    <numFmt numFmtId="201" formatCode="&quot;True&quot;;&quot;True&quot;;&quot;False&quot;"/>
    <numFmt numFmtId="202" formatCode="&quot;On&quot;;&quot;On&quot;;&quot;Off&quot;"/>
    <numFmt numFmtId="203" formatCode="yy/mm/dd"/>
    <numFmt numFmtId="204" formatCode="[$-411]gg/mm/dd"/>
    <numFmt numFmtId="205" formatCode="hh/mm/dd"/>
    <numFmt numFmtId="206" formatCode="[$-411]ge\.mm\.dd"/>
    <numFmt numFmtId="207" formatCode="#,##0;&quot;▲ &quot;#,##0"/>
    <numFmt numFmtId="208" formatCode="#,##0.0;&quot;△ &quot;#,##0.0"/>
    <numFmt numFmtId="209" formatCode="0.000_);[Red]\(0.000\)"/>
    <numFmt numFmtId="210" formatCode="0.00;&quot;▲ &quot;0.00"/>
    <numFmt numFmtId="211" formatCode="#,##0.00;&quot;▲ &quot;#,##0.00"/>
    <numFmt numFmtId="212" formatCode="0.0;&quot;▲ &quot;0.0"/>
    <numFmt numFmtId="213" formatCode="000000000000000"/>
    <numFmt numFmtId="214" formatCode="#,##0.0"/>
    <numFmt numFmtId="215" formatCode="#,##0.000"/>
    <numFmt numFmtId="216" formatCode="#,##0.0000"/>
    <numFmt numFmtId="217" formatCode="#,##0.0;&quot;▲ &quot;#,##0.0"/>
  </numFmts>
  <fonts count="40">
    <font>
      <sz val="12"/>
      <name val="ＭＳ 明朝"/>
      <family val="1"/>
    </font>
    <font>
      <sz val="6"/>
      <name val="ＭＳ Ｐ明朝"/>
      <family val="1"/>
    </font>
    <font>
      <sz val="11"/>
      <name val="ＭＳ 明朝"/>
      <family val="1"/>
    </font>
    <font>
      <sz val="8"/>
      <name val="ＭＳ 明朝"/>
      <family val="1"/>
    </font>
    <font>
      <sz val="9"/>
      <name val="ＭＳ 明朝"/>
      <family val="1"/>
    </font>
    <font>
      <b/>
      <sz val="9"/>
      <name val="ＭＳ Ｐゴシック"/>
      <family val="3"/>
    </font>
    <font>
      <sz val="14"/>
      <name val="ＭＳ Ｐゴシック"/>
      <family val="3"/>
    </font>
    <font>
      <sz val="6"/>
      <name val="ＭＳ 明朝"/>
      <family val="1"/>
    </font>
    <font>
      <sz val="11"/>
      <name val="ＭＳ Ｐゴシック"/>
      <family val="3"/>
    </font>
    <font>
      <b/>
      <sz val="14.5"/>
      <name val="ＭＳ ゴシック"/>
      <family val="3"/>
    </font>
    <font>
      <sz val="6"/>
      <name val="ＭＳ Ｐゴシック"/>
      <family val="3"/>
    </font>
    <font>
      <b/>
      <sz val="14"/>
      <name val="ＭＳ ゴシック"/>
      <family val="3"/>
    </font>
    <font>
      <sz val="10"/>
      <name val="ＭＳ 明朝"/>
      <family val="1"/>
    </font>
    <font>
      <sz val="12"/>
      <color indexed="8"/>
      <name val="ＭＳ Ｐ明朝"/>
      <family val="1"/>
    </font>
    <font>
      <sz val="12"/>
      <name val="ＭＳ Ｐゴシック"/>
      <family val="3"/>
    </font>
    <font>
      <sz val="12"/>
      <color indexed="8"/>
      <name val="ＭＳ Ｐゴシック"/>
      <family val="3"/>
    </font>
    <font>
      <sz val="12"/>
      <name val="ＭＳ Ｐ明朝"/>
      <family val="1"/>
    </font>
    <font>
      <sz val="12"/>
      <color indexed="8"/>
      <name val="ＭＳ 明朝"/>
      <family val="1"/>
    </font>
    <font>
      <sz val="10"/>
      <name val="ＭＳ ゴシック"/>
      <family val="3"/>
    </font>
    <font>
      <u val="single"/>
      <sz val="9.6"/>
      <color indexed="12"/>
      <name val="ＭＳ 明朝"/>
      <family val="1"/>
    </font>
    <font>
      <u val="single"/>
      <sz val="9.6"/>
      <color indexed="36"/>
      <name val="ＭＳ 明朝"/>
      <family val="1"/>
    </font>
    <font>
      <sz val="8"/>
      <name val="ＭＳ Ｐゴシック"/>
      <family val="3"/>
    </font>
    <font>
      <sz val="10"/>
      <name val="ＭＳ Ｐゴシック"/>
      <family val="3"/>
    </font>
    <font>
      <sz val="9"/>
      <name val="ＭＳ Ｐゴシック"/>
      <family val="3"/>
    </font>
    <font>
      <sz val="9"/>
      <name val="MS UI Gothic"/>
      <family val="3"/>
    </font>
    <font>
      <sz val="18"/>
      <name val="ＭＳ Ｐゴシック"/>
      <family val="3"/>
    </font>
    <font>
      <sz val="11"/>
      <color indexed="10"/>
      <name val="ＭＳ Ｐゴシック"/>
      <family val="3"/>
    </font>
    <font>
      <sz val="10"/>
      <color indexed="10"/>
      <name val="ＭＳ 明朝"/>
      <family val="1"/>
    </font>
    <font>
      <sz val="14"/>
      <color indexed="12"/>
      <name val="ＭＳ ゴシック"/>
      <family val="3"/>
    </font>
    <font>
      <sz val="12"/>
      <color indexed="10"/>
      <name val="ＭＳ Ｐゴシック"/>
      <family val="3"/>
    </font>
    <font>
      <sz val="11"/>
      <color indexed="10"/>
      <name val="ＭＳ 明朝"/>
      <family val="1"/>
    </font>
    <font>
      <sz val="6"/>
      <color indexed="10"/>
      <name val="ＭＳ Ｐ明朝"/>
      <family val="1"/>
    </font>
    <font>
      <sz val="12"/>
      <color indexed="10"/>
      <name val="ＭＳ 明朝"/>
      <family val="1"/>
    </font>
    <font>
      <sz val="11"/>
      <color indexed="15"/>
      <name val="ＭＳ 明朝"/>
      <family val="1"/>
    </font>
    <font>
      <sz val="11"/>
      <color indexed="15"/>
      <name val="ＭＳ Ｐゴシック"/>
      <family val="3"/>
    </font>
    <font>
      <sz val="9"/>
      <color indexed="10"/>
      <name val="ＭＳ 明朝"/>
      <family val="1"/>
    </font>
    <font>
      <sz val="8"/>
      <color indexed="10"/>
      <name val="ＭＳ 明朝"/>
      <family val="1"/>
    </font>
    <font>
      <sz val="9"/>
      <color indexed="9"/>
      <name val="ＭＳ Ｐゴシック"/>
      <family val="3"/>
    </font>
    <font>
      <b/>
      <sz val="12"/>
      <name val="ＭＳ 明朝"/>
      <family val="1"/>
    </font>
    <font>
      <b/>
      <sz val="8"/>
      <name val="ＭＳ 明朝"/>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s>
  <borders count="135">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double">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style="double">
        <color indexed="8"/>
      </left>
      <right style="hair">
        <color indexed="8"/>
      </right>
      <top>
        <color indexed="63"/>
      </top>
      <bottom style="double"/>
    </border>
    <border>
      <left style="hair">
        <color indexed="8"/>
      </left>
      <right>
        <color indexed="63"/>
      </right>
      <top>
        <color indexed="63"/>
      </top>
      <bottom style="double"/>
    </border>
    <border>
      <left style="hair">
        <color indexed="8"/>
      </left>
      <right style="medium">
        <color indexed="8"/>
      </right>
      <top>
        <color indexed="63"/>
      </top>
      <bottom style="double"/>
    </border>
    <border>
      <left style="medium"/>
      <right>
        <color indexed="63"/>
      </right>
      <top>
        <color indexed="63"/>
      </top>
      <bottom style="medium"/>
    </border>
    <border>
      <left style="thin">
        <color indexed="8"/>
      </left>
      <right>
        <color indexed="63"/>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hair">
        <color indexed="8"/>
      </right>
      <top>
        <color indexed="63"/>
      </top>
      <bottom style="hair">
        <color indexed="8"/>
      </bottom>
    </border>
    <border>
      <left>
        <color indexed="63"/>
      </left>
      <right>
        <color indexed="63"/>
      </right>
      <top>
        <color indexed="63"/>
      </top>
      <bottom style="hair">
        <color indexed="8"/>
      </bottom>
    </border>
    <border>
      <left style="double">
        <color indexed="8"/>
      </left>
      <right style="hair">
        <color indexed="8"/>
      </right>
      <top style="double"/>
      <bottom style="hair">
        <color indexed="8"/>
      </bottom>
    </border>
    <border>
      <left style="hair">
        <color indexed="8"/>
      </left>
      <right style="hair">
        <color indexed="8"/>
      </right>
      <top style="double"/>
      <bottom style="hair">
        <color indexed="8"/>
      </bottom>
    </border>
    <border>
      <left style="hair">
        <color indexed="8"/>
      </left>
      <right style="medium">
        <color indexed="8"/>
      </right>
      <top style="double"/>
      <bottom style="hair">
        <color indexed="8"/>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medium"/>
      <right style="hair">
        <color indexed="8"/>
      </right>
      <top style="hair">
        <color indexed="8"/>
      </top>
      <bottom style="hair">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hair">
        <color indexed="8"/>
      </right>
      <top style="hair">
        <color indexed="8"/>
      </top>
      <bottom>
        <color indexed="63"/>
      </bottom>
    </border>
    <border>
      <left style="double">
        <color indexed="8"/>
      </left>
      <right style="hair">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double">
        <color indexed="8"/>
      </left>
      <right style="hair">
        <color indexed="8"/>
      </right>
      <top style="double">
        <color indexed="8"/>
      </top>
      <bottom style="medium">
        <color indexed="8"/>
      </bottom>
    </border>
    <border>
      <left style="hair">
        <color indexed="8"/>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style="medium"/>
      <right>
        <color indexed="63"/>
      </right>
      <top style="medium"/>
      <bottom style="medium"/>
    </border>
    <border>
      <left style="thin">
        <color indexed="8"/>
      </left>
      <right>
        <color indexed="63"/>
      </right>
      <top style="medium"/>
      <bottom style="mediu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style="hair"/>
      <right style="hair"/>
      <top style="hair"/>
      <bottom>
        <color indexed="63"/>
      </bottom>
    </border>
    <border>
      <left style="hair"/>
      <right style="hair"/>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style="hair"/>
      <top style="thin"/>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thin">
        <color indexed="8"/>
      </left>
      <right>
        <color indexed="63"/>
      </right>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medium">
        <color indexed="8"/>
      </left>
      <right>
        <color indexed="63"/>
      </right>
      <top style="medium"/>
      <bottom style="medium"/>
    </border>
    <border>
      <left>
        <color indexed="63"/>
      </left>
      <right style="thin">
        <color indexed="8"/>
      </right>
      <top style="medium"/>
      <bottom style="medium"/>
    </border>
    <border>
      <left style="double">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color indexed="63"/>
      </right>
      <top style="hair"/>
      <bottom style="medium"/>
    </border>
    <border>
      <left style="hair">
        <color indexed="8"/>
      </left>
      <right style="medium">
        <color indexed="8"/>
      </right>
      <top style="hair"/>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style="hair"/>
      <right style="hair"/>
      <top style="thin"/>
      <bottom>
        <color indexed="63"/>
      </bottom>
    </border>
    <border>
      <left style="hair"/>
      <right style="hair"/>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style="thin">
        <color indexed="8"/>
      </left>
      <right style="medium"/>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medium"/>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medium"/>
      <right>
        <color indexed="63"/>
      </right>
      <top style="thin">
        <color indexed="8"/>
      </top>
      <bottom>
        <color indexed="63"/>
      </bottom>
    </border>
    <border diagonalUp="1">
      <left style="hair"/>
      <right style="hair"/>
      <top style="hair"/>
      <bottom style="hair"/>
      <diagonal style="hair"/>
    </border>
    <border diagonalUp="1">
      <left style="thin"/>
      <right style="thin"/>
      <top style="thin"/>
      <bottom style="thin"/>
      <diagonal style="thin"/>
    </border>
    <border>
      <left style="thin"/>
      <right style="hair"/>
      <top style="thin"/>
      <bottom style="thin"/>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double">
        <color indexed="8"/>
      </top>
      <bottom style="medium"/>
    </border>
    <border>
      <left>
        <color indexed="63"/>
      </left>
      <right>
        <color indexed="63"/>
      </right>
      <top style="double">
        <color indexed="8"/>
      </top>
      <bottom style="medium"/>
    </border>
    <border>
      <left style="medium"/>
      <right>
        <color indexed="63"/>
      </right>
      <top>
        <color indexed="63"/>
      </top>
      <bottom style="double"/>
    </border>
    <border>
      <left>
        <color indexed="63"/>
      </left>
      <right>
        <color indexed="63"/>
      </right>
      <top>
        <color indexed="63"/>
      </top>
      <bottom style="double"/>
    </border>
    <border diagonalUp="1">
      <left style="hair"/>
      <right style="hair"/>
      <top style="hair"/>
      <bottom>
        <color indexed="63"/>
      </bottom>
      <diagonal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37" fontId="18" fillId="0" borderId="0">
      <alignment/>
      <protection/>
    </xf>
    <xf numFmtId="0" fontId="20" fillId="0" borderId="0" applyNumberFormat="0" applyFill="0" applyBorder="0" applyAlignment="0" applyProtection="0"/>
  </cellStyleXfs>
  <cellXfs count="337">
    <xf numFmtId="0" fontId="0" fillId="0" borderId="0" xfId="0" applyAlignment="1">
      <alignment/>
    </xf>
    <xf numFmtId="0" fontId="0" fillId="0" borderId="0" xfId="21" applyFont="1" applyProtection="1">
      <alignment/>
      <protection locked="0"/>
    </xf>
    <xf numFmtId="0" fontId="2" fillId="0" borderId="0" xfId="21" applyFont="1" applyAlignment="1">
      <alignment/>
      <protection/>
    </xf>
    <xf numFmtId="0" fontId="9" fillId="0" borderId="0" xfId="21" applyFont="1" applyProtection="1">
      <alignment/>
      <protection locked="0"/>
    </xf>
    <xf numFmtId="0" fontId="11" fillId="0" borderId="0" xfId="21" applyFont="1" applyProtection="1">
      <alignment/>
      <protection locked="0"/>
    </xf>
    <xf numFmtId="0" fontId="2" fillId="0" borderId="1" xfId="21" applyBorder="1">
      <alignment/>
      <protection/>
    </xf>
    <xf numFmtId="0" fontId="2" fillId="0" borderId="2" xfId="21" applyNumberFormat="1" applyFont="1" applyBorder="1" applyAlignment="1">
      <alignment horizontal="center"/>
      <protection/>
    </xf>
    <xf numFmtId="0" fontId="2" fillId="0" borderId="3" xfId="21" applyFont="1" applyBorder="1" applyAlignment="1" applyProtection="1">
      <alignment horizontal="center" vertical="center"/>
      <protection locked="0"/>
    </xf>
    <xf numFmtId="0" fontId="2" fillId="0" borderId="4" xfId="21" applyFont="1" applyBorder="1" applyAlignment="1" applyProtection="1">
      <alignment horizontal="center" vertical="center"/>
      <protection locked="0"/>
    </xf>
    <xf numFmtId="0" fontId="2" fillId="0" borderId="5" xfId="21" applyFont="1" applyBorder="1" applyAlignment="1" applyProtection="1">
      <alignment horizontal="center" vertical="center"/>
      <protection locked="0"/>
    </xf>
    <xf numFmtId="0" fontId="2" fillId="0" borderId="0" xfId="21" applyFont="1" applyBorder="1" applyAlignment="1" applyProtection="1">
      <alignment vertical="center"/>
      <protection locked="0"/>
    </xf>
    <xf numFmtId="0" fontId="0" fillId="0" borderId="0" xfId="21" applyFont="1" applyBorder="1" applyProtection="1">
      <alignment/>
      <protection locked="0"/>
    </xf>
    <xf numFmtId="0" fontId="2" fillId="0" borderId="0" xfId="21" applyBorder="1">
      <alignment/>
      <protection/>
    </xf>
    <xf numFmtId="0" fontId="12" fillId="0" borderId="6" xfId="21" applyFont="1" applyFill="1" applyBorder="1" applyAlignment="1" applyProtection="1">
      <alignment horizontal="center" vertical="center"/>
      <protection locked="0"/>
    </xf>
    <xf numFmtId="0" fontId="12" fillId="0" borderId="7" xfId="21" applyFont="1" applyFill="1" applyBorder="1" applyAlignment="1" applyProtection="1">
      <alignment horizontal="center" vertical="center"/>
      <protection locked="0"/>
    </xf>
    <xf numFmtId="49" fontId="2" fillId="0" borderId="8" xfId="21" applyNumberFormat="1" applyFont="1" applyFill="1" applyBorder="1" applyAlignment="1" applyProtection="1">
      <alignment horizontal="center" vertical="center"/>
      <protection locked="0"/>
    </xf>
    <xf numFmtId="0" fontId="2" fillId="0" borderId="9" xfId="21" applyBorder="1">
      <alignment/>
      <protection/>
    </xf>
    <xf numFmtId="0" fontId="2" fillId="0" borderId="10" xfId="21" applyBorder="1">
      <alignment/>
      <protection/>
    </xf>
    <xf numFmtId="0" fontId="2" fillId="0" borderId="11" xfId="21" applyNumberFormat="1" applyFont="1" applyBorder="1" applyAlignment="1">
      <alignment horizontal="right"/>
      <protection/>
    </xf>
    <xf numFmtId="0" fontId="2" fillId="0" borderId="12" xfId="21" applyNumberFormat="1" applyFont="1" applyBorder="1" applyAlignment="1">
      <alignment horizontal="right"/>
      <protection/>
    </xf>
    <xf numFmtId="0" fontId="2" fillId="0" borderId="13" xfId="21" applyNumberFormat="1" applyBorder="1" applyAlignment="1">
      <alignment horizontal="right"/>
      <protection/>
    </xf>
    <xf numFmtId="0" fontId="2" fillId="0" borderId="14" xfId="21" applyBorder="1" applyAlignment="1">
      <alignment horizontal="right"/>
      <protection/>
    </xf>
    <xf numFmtId="0" fontId="2" fillId="0" borderId="15" xfId="21" applyNumberFormat="1" applyFont="1" applyBorder="1" applyAlignment="1">
      <alignment horizontal="right"/>
      <protection/>
    </xf>
    <xf numFmtId="0" fontId="8" fillId="0" borderId="16" xfId="21" applyNumberFormat="1" applyFont="1" applyBorder="1" applyAlignment="1">
      <alignment horizontal="right"/>
      <protection/>
    </xf>
    <xf numFmtId="0" fontId="2" fillId="0" borderId="9" xfId="21" applyNumberFormat="1" applyBorder="1" applyAlignment="1">
      <alignment/>
      <protection/>
    </xf>
    <xf numFmtId="0" fontId="2" fillId="0" borderId="10" xfId="21" applyNumberFormat="1" applyBorder="1">
      <alignment/>
      <protection/>
    </xf>
    <xf numFmtId="0" fontId="2" fillId="0" borderId="13" xfId="21" applyNumberFormat="1" applyFont="1" applyBorder="1" applyAlignment="1">
      <alignment horizontal="center"/>
      <protection/>
    </xf>
    <xf numFmtId="0" fontId="2" fillId="0" borderId="17" xfId="21" applyBorder="1">
      <alignment/>
      <protection/>
    </xf>
    <xf numFmtId="0" fontId="2" fillId="0" borderId="13" xfId="21" applyBorder="1">
      <alignment/>
      <protection/>
    </xf>
    <xf numFmtId="0" fontId="0" fillId="0" borderId="18" xfId="21" applyFont="1" applyBorder="1" applyProtection="1">
      <alignment/>
      <protection locked="0"/>
    </xf>
    <xf numFmtId="0" fontId="2" fillId="0" borderId="19" xfId="21" applyFont="1" applyBorder="1" applyAlignment="1" applyProtection="1">
      <alignment vertical="center"/>
      <protection locked="0"/>
    </xf>
    <xf numFmtId="188" fontId="13" fillId="0" borderId="20" xfId="21" applyNumberFormat="1" applyFont="1" applyFill="1" applyBorder="1" applyAlignment="1" applyProtection="1">
      <alignment horizontal="right" vertical="center"/>
      <protection locked="0"/>
    </xf>
    <xf numFmtId="188" fontId="13" fillId="0" borderId="21" xfId="21" applyNumberFormat="1" applyFont="1" applyFill="1" applyBorder="1" applyAlignment="1" applyProtection="1">
      <alignment horizontal="right" vertical="center"/>
      <protection locked="0"/>
    </xf>
    <xf numFmtId="189" fontId="13" fillId="0" borderId="22" xfId="21" applyNumberFormat="1" applyFont="1" applyFill="1" applyBorder="1" applyAlignment="1" applyProtection="1">
      <alignment horizontal="right" vertical="center"/>
      <protection locked="0"/>
    </xf>
    <xf numFmtId="188" fontId="2" fillId="0" borderId="0" xfId="21" applyNumberFormat="1" applyFont="1" applyBorder="1" applyAlignment="1" applyProtection="1">
      <alignment vertical="center"/>
      <protection locked="0"/>
    </xf>
    <xf numFmtId="0" fontId="2" fillId="0" borderId="18" xfId="21" applyNumberFormat="1" applyFont="1" applyBorder="1" applyAlignment="1" applyProtection="1">
      <alignment vertical="center"/>
      <protection locked="0"/>
    </xf>
    <xf numFmtId="0" fontId="2" fillId="0" borderId="2" xfId="21" applyNumberFormat="1" applyFont="1" applyBorder="1" applyAlignment="1">
      <alignment horizontal="right" vertical="center"/>
      <protection/>
    </xf>
    <xf numFmtId="0" fontId="2" fillId="0" borderId="23" xfId="21" applyNumberFormat="1" applyFont="1" applyBorder="1" applyAlignment="1">
      <alignment horizontal="left" vertical="center"/>
      <protection/>
    </xf>
    <xf numFmtId="38" fontId="14" fillId="0" borderId="24" xfId="17" applyFont="1" applyBorder="1" applyAlignment="1">
      <alignment vertical="center"/>
    </xf>
    <xf numFmtId="38" fontId="14" fillId="0" borderId="25" xfId="17" applyFont="1" applyBorder="1" applyAlignment="1">
      <alignment vertical="center"/>
    </xf>
    <xf numFmtId="38" fontId="14" fillId="0" borderId="26" xfId="17" applyFont="1" applyBorder="1" applyAlignment="1">
      <alignment vertical="center"/>
    </xf>
    <xf numFmtId="4" fontId="14" fillId="0" borderId="2" xfId="21" applyNumberFormat="1" applyFont="1" applyBorder="1" applyAlignment="1">
      <alignment horizontal="right" vertical="center"/>
      <protection/>
    </xf>
    <xf numFmtId="4" fontId="14" fillId="0" borderId="27" xfId="21" applyNumberFormat="1" applyFont="1" applyBorder="1" applyAlignment="1">
      <alignment horizontal="right" vertical="center"/>
      <protection/>
    </xf>
    <xf numFmtId="0" fontId="0" fillId="0" borderId="28" xfId="21" applyFont="1" applyBorder="1" applyProtection="1">
      <alignment/>
      <protection locked="0"/>
    </xf>
    <xf numFmtId="188" fontId="13" fillId="0" borderId="29" xfId="21" applyNumberFormat="1" applyFont="1" applyFill="1" applyBorder="1" applyAlignment="1" applyProtection="1">
      <alignment horizontal="right" vertical="center"/>
      <protection locked="0"/>
    </xf>
    <xf numFmtId="188" fontId="13" fillId="0" borderId="30" xfId="21" applyNumberFormat="1" applyFont="1" applyFill="1" applyBorder="1" applyAlignment="1" applyProtection="1">
      <alignment horizontal="right" vertical="center"/>
      <protection locked="0"/>
    </xf>
    <xf numFmtId="189" fontId="13" fillId="0" borderId="31" xfId="21" applyNumberFormat="1" applyFont="1" applyFill="1" applyBorder="1" applyAlignment="1" applyProtection="1">
      <alignment horizontal="right" vertical="center"/>
      <protection locked="0"/>
    </xf>
    <xf numFmtId="0" fontId="2" fillId="0" borderId="28" xfId="21" applyNumberFormat="1" applyFont="1" applyBorder="1" applyAlignment="1" applyProtection="1">
      <alignment vertical="center"/>
      <protection locked="0"/>
    </xf>
    <xf numFmtId="38" fontId="14" fillId="0" borderId="32" xfId="17" applyFont="1" applyBorder="1" applyAlignment="1">
      <alignment vertical="center"/>
    </xf>
    <xf numFmtId="38" fontId="14" fillId="0" borderId="33" xfId="17" applyFont="1" applyBorder="1" applyAlignment="1">
      <alignment vertical="center"/>
    </xf>
    <xf numFmtId="4" fontId="14" fillId="0" borderId="32" xfId="21" applyNumberFormat="1" applyFont="1" applyBorder="1" applyAlignment="1">
      <alignment horizontal="right" vertical="center"/>
      <protection/>
    </xf>
    <xf numFmtId="4" fontId="14" fillId="0" borderId="33" xfId="21" applyNumberFormat="1" applyFont="1" applyBorder="1" applyAlignment="1">
      <alignment horizontal="right" vertical="center"/>
      <protection/>
    </xf>
    <xf numFmtId="3" fontId="15" fillId="2" borderId="32" xfId="21" applyNumberFormat="1" applyFont="1" applyFill="1" applyBorder="1" applyAlignment="1">
      <alignment horizontal="right" vertical="center"/>
      <protection/>
    </xf>
    <xf numFmtId="38" fontId="14" fillId="0" borderId="33" xfId="17" applyFont="1" applyBorder="1" applyAlignment="1">
      <alignment/>
    </xf>
    <xf numFmtId="3" fontId="14" fillId="0" borderId="34" xfId="21" applyNumberFormat="1" applyFont="1" applyBorder="1" applyAlignment="1">
      <alignment horizontal="right" vertical="center"/>
      <protection/>
    </xf>
    <xf numFmtId="0" fontId="0" fillId="0" borderId="35" xfId="21" applyFont="1" applyBorder="1" applyProtection="1">
      <alignment/>
      <protection locked="0"/>
    </xf>
    <xf numFmtId="188" fontId="16" fillId="0" borderId="36" xfId="21" applyNumberFormat="1" applyFont="1" applyFill="1" applyBorder="1" applyAlignment="1" applyProtection="1">
      <alignment vertical="center"/>
      <protection locked="0"/>
    </xf>
    <xf numFmtId="188" fontId="16" fillId="0" borderId="37" xfId="21" applyNumberFormat="1" applyFont="1" applyFill="1" applyBorder="1" applyAlignment="1" applyProtection="1">
      <alignment vertical="center"/>
      <protection locked="0"/>
    </xf>
    <xf numFmtId="189" fontId="16" fillId="0" borderId="38" xfId="21" applyNumberFormat="1" applyFont="1" applyFill="1" applyBorder="1" applyAlignment="1" applyProtection="1">
      <alignment vertical="center"/>
      <protection locked="0"/>
    </xf>
    <xf numFmtId="188" fontId="16" fillId="0" borderId="36" xfId="21" applyNumberFormat="1" applyFont="1" applyFill="1" applyBorder="1" applyAlignment="1" applyProtection="1">
      <alignment vertical="center"/>
      <protection locked="0"/>
    </xf>
    <xf numFmtId="188" fontId="16" fillId="0" borderId="37" xfId="21" applyNumberFormat="1" applyFont="1" applyFill="1" applyBorder="1" applyAlignment="1" applyProtection="1">
      <alignment vertical="center"/>
      <protection locked="0"/>
    </xf>
    <xf numFmtId="189" fontId="16" fillId="0" borderId="38" xfId="21" applyNumberFormat="1" applyFont="1" applyFill="1" applyBorder="1" applyAlignment="1" applyProtection="1">
      <alignment vertical="center"/>
      <protection locked="0"/>
    </xf>
    <xf numFmtId="188" fontId="2" fillId="0" borderId="0" xfId="21" applyNumberFormat="1" applyFont="1" applyAlignment="1" applyProtection="1">
      <alignment vertical="center"/>
      <protection locked="0"/>
    </xf>
    <xf numFmtId="188" fontId="16" fillId="0" borderId="39" xfId="21" applyNumberFormat="1" applyFont="1" applyFill="1" applyBorder="1" applyAlignment="1" applyProtection="1">
      <alignment vertical="center"/>
      <protection locked="0"/>
    </xf>
    <xf numFmtId="188" fontId="16" fillId="0" borderId="40" xfId="21" applyNumberFormat="1" applyFont="1" applyFill="1" applyBorder="1" applyAlignment="1" applyProtection="1">
      <alignment vertical="center"/>
      <protection locked="0"/>
    </xf>
    <xf numFmtId="189" fontId="16" fillId="0" borderId="41" xfId="21" applyNumberFormat="1" applyFont="1" applyFill="1" applyBorder="1" applyAlignment="1" applyProtection="1">
      <alignment vertical="center"/>
      <protection locked="0"/>
    </xf>
    <xf numFmtId="188" fontId="17" fillId="0" borderId="0" xfId="21" applyNumberFormat="1" applyFont="1" applyAlignment="1" applyProtection="1">
      <alignment horizontal="right" vertical="center"/>
      <protection locked="0"/>
    </xf>
    <xf numFmtId="3" fontId="0" fillId="0" borderId="0" xfId="21" applyNumberFormat="1" applyFont="1" applyProtection="1">
      <alignment/>
      <protection locked="0"/>
    </xf>
    <xf numFmtId="0" fontId="2" fillId="0" borderId="42" xfId="21" applyFont="1" applyBorder="1" applyAlignment="1">
      <alignment horizontal="right" vertical="center"/>
      <protection/>
    </xf>
    <xf numFmtId="0" fontId="2" fillId="0" borderId="43" xfId="21" applyNumberFormat="1" applyFont="1" applyBorder="1" applyAlignment="1">
      <alignment horizontal="center" vertical="center"/>
      <protection/>
    </xf>
    <xf numFmtId="3" fontId="14" fillId="0" borderId="44" xfId="21" applyNumberFormat="1" applyFont="1" applyBorder="1" applyAlignment="1">
      <alignment horizontal="right" vertical="center"/>
      <protection/>
    </xf>
    <xf numFmtId="3" fontId="14" fillId="0" borderId="45" xfId="21" applyNumberFormat="1" applyFont="1" applyBorder="1" applyAlignment="1">
      <alignment horizontal="right" vertical="center"/>
      <protection/>
    </xf>
    <xf numFmtId="3" fontId="14" fillId="0" borderId="46" xfId="21" applyNumberFormat="1" applyFont="1" applyBorder="1" applyAlignment="1">
      <alignment horizontal="right" vertical="center"/>
      <protection/>
    </xf>
    <xf numFmtId="3" fontId="14" fillId="0" borderId="47" xfId="21" applyNumberFormat="1" applyFont="1" applyBorder="1" applyAlignment="1">
      <alignment horizontal="right" vertical="center"/>
      <protection/>
    </xf>
    <xf numFmtId="3" fontId="14" fillId="0" borderId="48" xfId="21" applyNumberFormat="1" applyFont="1" applyBorder="1" applyAlignment="1">
      <alignment horizontal="right" vertical="center"/>
      <protection/>
    </xf>
    <xf numFmtId="3" fontId="14" fillId="0" borderId="49" xfId="21" applyNumberFormat="1" applyFont="1" applyBorder="1" applyAlignment="1">
      <alignment horizontal="right" vertical="center"/>
      <protection/>
    </xf>
    <xf numFmtId="3" fontId="14" fillId="0" borderId="50" xfId="21" applyNumberFormat="1" applyFont="1" applyBorder="1" applyAlignment="1">
      <alignment horizontal="right" vertical="center"/>
      <protection/>
    </xf>
    <xf numFmtId="3" fontId="14" fillId="0" borderId="43" xfId="21" applyNumberFormat="1" applyFont="1" applyBorder="1" applyAlignment="1">
      <alignment horizontal="right" vertical="center"/>
      <protection/>
    </xf>
    <xf numFmtId="0" fontId="8" fillId="0" borderId="0" xfId="21" applyFont="1" applyBorder="1">
      <alignment/>
      <protection/>
    </xf>
    <xf numFmtId="0" fontId="2" fillId="0" borderId="0" xfId="21" applyNumberFormat="1" applyFont="1" applyBorder="1" applyAlignment="1">
      <alignment horizontal="right"/>
      <protection/>
    </xf>
    <xf numFmtId="4" fontId="2" fillId="0" borderId="0" xfId="21" applyNumberFormat="1" applyBorder="1">
      <alignment/>
      <protection/>
    </xf>
    <xf numFmtId="0" fontId="8" fillId="0" borderId="0" xfId="21" applyFont="1" applyProtection="1">
      <alignment/>
      <protection locked="0"/>
    </xf>
    <xf numFmtId="182" fontId="6" fillId="0" borderId="0" xfId="0" applyNumberFormat="1" applyFont="1" applyBorder="1" applyAlignment="1">
      <alignment vertical="center"/>
    </xf>
    <xf numFmtId="37" fontId="12" fillId="0" borderId="0" xfId="22" applyFont="1" applyAlignment="1" applyProtection="1">
      <alignment vertical="center"/>
      <protection/>
    </xf>
    <xf numFmtId="37" fontId="12" fillId="0" borderId="51" xfId="22" applyFont="1" applyBorder="1" applyAlignment="1" applyProtection="1">
      <alignment vertical="center"/>
      <protection/>
    </xf>
    <xf numFmtId="37" fontId="12" fillId="0" borderId="52" xfId="22" applyFont="1" applyBorder="1" applyAlignment="1" applyProtection="1">
      <alignment horizontal="left" vertical="center"/>
      <protection/>
    </xf>
    <xf numFmtId="37" fontId="12" fillId="0" borderId="52" xfId="22" applyFont="1" applyBorder="1" applyAlignment="1" applyProtection="1">
      <alignment vertical="center"/>
      <protection/>
    </xf>
    <xf numFmtId="37" fontId="12" fillId="0" borderId="53" xfId="22" applyFont="1" applyBorder="1" applyAlignment="1" applyProtection="1">
      <alignment vertical="center"/>
      <protection/>
    </xf>
    <xf numFmtId="37" fontId="12" fillId="0" borderId="54" xfId="22" applyFont="1" applyBorder="1" applyAlignment="1" applyProtection="1">
      <alignment vertical="center"/>
      <protection/>
    </xf>
    <xf numFmtId="37" fontId="12" fillId="0" borderId="52" xfId="22" applyFont="1" applyBorder="1" applyAlignment="1" applyProtection="1">
      <alignment horizontal="center" vertical="center"/>
      <protection/>
    </xf>
    <xf numFmtId="37" fontId="12" fillId="0" borderId="26" xfId="22" applyFont="1" applyBorder="1" applyAlignment="1" applyProtection="1">
      <alignment horizontal="center" vertical="center"/>
      <protection/>
    </xf>
    <xf numFmtId="37" fontId="12" fillId="0" borderId="54" xfId="22" applyFont="1" applyBorder="1" applyAlignment="1" applyProtection="1">
      <alignment horizontal="left" vertical="center"/>
      <protection/>
    </xf>
    <xf numFmtId="37" fontId="12" fillId="0" borderId="54" xfId="22" applyFont="1" applyBorder="1" applyAlignment="1" applyProtection="1">
      <alignment horizontal="center" vertical="center"/>
      <protection/>
    </xf>
    <xf numFmtId="37" fontId="12" fillId="0" borderId="55" xfId="22" applyFont="1" applyBorder="1" applyAlignment="1" applyProtection="1">
      <alignment vertical="center"/>
      <protection/>
    </xf>
    <xf numFmtId="37" fontId="12" fillId="0" borderId="26" xfId="22" applyFont="1" applyBorder="1" applyAlignment="1" applyProtection="1">
      <alignment vertical="center"/>
      <protection/>
    </xf>
    <xf numFmtId="37" fontId="12" fillId="0" borderId="56" xfId="22" applyFont="1" applyBorder="1" applyAlignment="1" applyProtection="1">
      <alignment horizontal="left" vertical="center"/>
      <protection/>
    </xf>
    <xf numFmtId="0" fontId="0" fillId="0" borderId="57" xfId="21" applyFont="1" applyBorder="1" applyProtection="1">
      <alignment/>
      <protection locked="0"/>
    </xf>
    <xf numFmtId="0" fontId="0" fillId="0" borderId="58" xfId="21" applyFont="1" applyBorder="1" applyProtection="1">
      <alignment/>
      <protection locked="0"/>
    </xf>
    <xf numFmtId="0" fontId="0" fillId="0" borderId="0" xfId="0" applyAlignment="1">
      <alignment horizontal="center" vertical="center" shrinkToFit="1"/>
    </xf>
    <xf numFmtId="188" fontId="0" fillId="0" borderId="0" xfId="0" applyNumberFormat="1" applyAlignment="1">
      <alignment horizontal="center" vertical="center" shrinkToFit="1"/>
    </xf>
    <xf numFmtId="0" fontId="0" fillId="0" borderId="0" xfId="0" applyAlignment="1">
      <alignment vertical="center"/>
    </xf>
    <xf numFmtId="188" fontId="0" fillId="0" borderId="0" xfId="0" applyNumberFormat="1" applyAlignment="1">
      <alignment vertical="center"/>
    </xf>
    <xf numFmtId="190" fontId="0" fillId="0" borderId="0" xfId="0" applyNumberFormat="1" applyAlignment="1">
      <alignment vertical="center"/>
    </xf>
    <xf numFmtId="188" fontId="3" fillId="0" borderId="0" xfId="0" applyNumberFormat="1" applyFont="1" applyAlignment="1">
      <alignment horizontal="center" vertical="center" shrinkToFit="1"/>
    </xf>
    <xf numFmtId="0" fontId="6" fillId="0" borderId="0" xfId="0" applyFont="1" applyBorder="1" applyAlignment="1">
      <alignment/>
    </xf>
    <xf numFmtId="0" fontId="21" fillId="0" borderId="0" xfId="0" applyFont="1" applyBorder="1" applyAlignment="1">
      <alignment/>
    </xf>
    <xf numFmtId="208" fontId="21" fillId="0" borderId="0" xfId="17" applyNumberFormat="1" applyFont="1" applyBorder="1" applyAlignment="1">
      <alignment/>
    </xf>
    <xf numFmtId="0" fontId="21" fillId="0" borderId="0" xfId="0" applyFont="1" applyAlignment="1">
      <alignment/>
    </xf>
    <xf numFmtId="0" fontId="22" fillId="0" borderId="0" xfId="0" applyFont="1" applyBorder="1" applyAlignment="1">
      <alignment/>
    </xf>
    <xf numFmtId="0" fontId="21" fillId="0" borderId="52" xfId="0" applyFont="1" applyBorder="1" applyAlignment="1">
      <alignment/>
    </xf>
    <xf numFmtId="0" fontId="23" fillId="0" borderId="59" xfId="0" applyFont="1" applyBorder="1" applyAlignment="1">
      <alignment horizontal="center" shrinkToFit="1"/>
    </xf>
    <xf numFmtId="57" fontId="23" fillId="0" borderId="59" xfId="0" applyNumberFormat="1" applyFont="1" applyBorder="1" applyAlignment="1">
      <alignment horizontal="center" shrinkToFit="1"/>
    </xf>
    <xf numFmtId="0" fontId="23" fillId="0" borderId="59" xfId="0" applyFont="1" applyBorder="1" applyAlignment="1">
      <alignment horizontal="center"/>
    </xf>
    <xf numFmtId="0" fontId="23" fillId="0" borderId="60" xfId="0" applyFont="1" applyBorder="1" applyAlignment="1">
      <alignment horizontal="center"/>
    </xf>
    <xf numFmtId="0" fontId="23" fillId="0" borderId="60" xfId="0" applyFont="1" applyBorder="1" applyAlignment="1">
      <alignment horizontal="right"/>
    </xf>
    <xf numFmtId="208" fontId="23" fillId="0" borderId="60" xfId="17" applyNumberFormat="1" applyFont="1" applyBorder="1" applyAlignment="1">
      <alignment horizontal="right"/>
    </xf>
    <xf numFmtId="0" fontId="23" fillId="0" borderId="61" xfId="0" applyFont="1" applyBorder="1" applyAlignment="1">
      <alignment horizontal="right"/>
    </xf>
    <xf numFmtId="0" fontId="23" fillId="0" borderId="62" xfId="0" applyFont="1" applyBorder="1" applyAlignment="1">
      <alignment vertical="center"/>
    </xf>
    <xf numFmtId="0" fontId="23" fillId="0" borderId="63" xfId="0" applyFont="1" applyBorder="1" applyAlignment="1">
      <alignment vertical="center"/>
    </xf>
    <xf numFmtId="0" fontId="23" fillId="0" borderId="64" xfId="0" applyFont="1" applyBorder="1" applyAlignment="1">
      <alignment vertical="center"/>
    </xf>
    <xf numFmtId="38" fontId="21" fillId="0" borderId="0" xfId="17" applyFont="1" applyBorder="1" applyAlignment="1">
      <alignment/>
    </xf>
    <xf numFmtId="182" fontId="21" fillId="0" borderId="0" xfId="0" applyNumberFormat="1" applyFont="1" applyBorder="1" applyAlignment="1">
      <alignment/>
    </xf>
    <xf numFmtId="0" fontId="12" fillId="0" borderId="0" xfId="0" applyFont="1" applyAlignment="1">
      <alignment/>
    </xf>
    <xf numFmtId="38" fontId="0" fillId="0" borderId="0" xfId="17" applyFont="1" applyAlignment="1" applyProtection="1">
      <alignment/>
      <protection locked="0"/>
    </xf>
    <xf numFmtId="38" fontId="14" fillId="0" borderId="57" xfId="17" applyFont="1" applyBorder="1" applyAlignment="1">
      <alignment vertical="center"/>
    </xf>
    <xf numFmtId="4" fontId="14" fillId="0" borderId="26" xfId="21" applyNumberFormat="1" applyFont="1" applyBorder="1" applyAlignment="1">
      <alignment horizontal="right" vertical="center"/>
      <protection/>
    </xf>
    <xf numFmtId="3" fontId="15" fillId="2" borderId="65" xfId="21" applyNumberFormat="1" applyFont="1" applyFill="1" applyBorder="1" applyAlignment="1">
      <alignment horizontal="right" vertical="center"/>
      <protection/>
    </xf>
    <xf numFmtId="38" fontId="14" fillId="0" borderId="66" xfId="17" applyFont="1" applyBorder="1" applyAlignment="1">
      <alignment/>
    </xf>
    <xf numFmtId="3" fontId="14" fillId="0" borderId="67" xfId="21" applyNumberFormat="1" applyFont="1" applyBorder="1" applyAlignment="1">
      <alignment horizontal="right" vertical="center"/>
      <protection/>
    </xf>
    <xf numFmtId="0" fontId="2" fillId="0" borderId="68" xfId="21" applyNumberFormat="1" applyFont="1" applyBorder="1" applyAlignment="1">
      <alignment horizontal="right" vertical="center"/>
      <protection/>
    </xf>
    <xf numFmtId="0" fontId="2" fillId="0" borderId="69" xfId="21" applyNumberFormat="1" applyFont="1" applyBorder="1" applyAlignment="1">
      <alignment horizontal="left" vertical="center"/>
      <protection/>
    </xf>
    <xf numFmtId="38" fontId="14" fillId="0" borderId="70" xfId="17" applyFont="1" applyBorder="1" applyAlignment="1">
      <alignment vertical="center"/>
    </xf>
    <xf numFmtId="38" fontId="14" fillId="0" borderId="71" xfId="17" applyFont="1" applyBorder="1" applyAlignment="1">
      <alignment vertical="center"/>
    </xf>
    <xf numFmtId="4" fontId="14" fillId="0" borderId="72" xfId="21" applyNumberFormat="1" applyFont="1" applyBorder="1" applyAlignment="1">
      <alignment horizontal="right" vertical="center"/>
      <protection/>
    </xf>
    <xf numFmtId="3" fontId="14" fillId="0" borderId="73" xfId="21" applyNumberFormat="1" applyFont="1" applyBorder="1" applyAlignment="1">
      <alignment horizontal="right" vertical="center"/>
      <protection/>
    </xf>
    <xf numFmtId="3" fontId="14" fillId="0" borderId="74" xfId="21" applyNumberFormat="1" applyFont="1" applyBorder="1" applyAlignment="1">
      <alignment horizontal="right" vertical="center"/>
      <protection/>
    </xf>
    <xf numFmtId="188" fontId="13" fillId="0" borderId="75" xfId="21" applyNumberFormat="1" applyFont="1" applyFill="1" applyBorder="1" applyAlignment="1" applyProtection="1">
      <alignment horizontal="right" vertical="center"/>
      <protection locked="0"/>
    </xf>
    <xf numFmtId="188" fontId="13" fillId="0" borderId="76" xfId="21" applyNumberFormat="1" applyFont="1" applyFill="1" applyBorder="1" applyAlignment="1" applyProtection="1">
      <alignment horizontal="right" vertical="center"/>
      <protection locked="0"/>
    </xf>
    <xf numFmtId="189" fontId="13" fillId="0" borderId="77" xfId="21" applyNumberFormat="1" applyFont="1" applyFill="1" applyBorder="1" applyAlignment="1" applyProtection="1">
      <alignment horizontal="right" vertical="center"/>
      <protection locked="0"/>
    </xf>
    <xf numFmtId="188" fontId="13" fillId="0" borderId="0" xfId="21" applyNumberFormat="1" applyFont="1" applyFill="1" applyBorder="1" applyAlignment="1" applyProtection="1">
      <alignment horizontal="right" vertical="center"/>
      <protection locked="0"/>
    </xf>
    <xf numFmtId="189" fontId="13" fillId="0" borderId="0" xfId="21" applyNumberFormat="1" applyFont="1" applyFill="1" applyBorder="1" applyAlignment="1" applyProtection="1">
      <alignment horizontal="right" vertical="center"/>
      <protection locked="0"/>
    </xf>
    <xf numFmtId="0" fontId="2" fillId="0" borderId="78" xfId="21" applyFont="1" applyBorder="1" applyAlignment="1" applyProtection="1">
      <alignment vertical="center"/>
      <protection locked="0"/>
    </xf>
    <xf numFmtId="189" fontId="13" fillId="0" borderId="79" xfId="21" applyNumberFormat="1" applyFont="1" applyFill="1" applyBorder="1" applyAlignment="1" applyProtection="1">
      <alignment horizontal="right" vertical="center"/>
      <protection locked="0"/>
    </xf>
    <xf numFmtId="0" fontId="8" fillId="0" borderId="0" xfId="0" applyFont="1" applyAlignment="1">
      <alignment/>
    </xf>
    <xf numFmtId="0" fontId="8" fillId="3" borderId="0" xfId="0" applyFont="1" applyFill="1" applyAlignment="1">
      <alignment/>
    </xf>
    <xf numFmtId="38" fontId="8" fillId="0" borderId="0" xfId="17" applyFont="1" applyAlignment="1">
      <alignment/>
    </xf>
    <xf numFmtId="0" fontId="8" fillId="0" borderId="0" xfId="0" applyFont="1" applyAlignment="1">
      <alignment/>
    </xf>
    <xf numFmtId="0" fontId="8" fillId="3" borderId="0" xfId="0" applyFont="1" applyFill="1" applyAlignment="1">
      <alignment/>
    </xf>
    <xf numFmtId="38" fontId="8" fillId="0" borderId="0" xfId="0" applyNumberFormat="1" applyFont="1" applyBorder="1" applyAlignment="1">
      <alignment/>
    </xf>
    <xf numFmtId="181" fontId="8" fillId="0" borderId="0" xfId="0" applyNumberFormat="1" applyFont="1" applyBorder="1" applyAlignment="1">
      <alignment/>
    </xf>
    <xf numFmtId="184" fontId="8" fillId="3" borderId="0" xfId="0" applyNumberFormat="1" applyFont="1" applyFill="1" applyBorder="1" applyAlignment="1">
      <alignment/>
    </xf>
    <xf numFmtId="183" fontId="8" fillId="0" borderId="0" xfId="0" applyNumberFormat="1" applyFont="1" applyBorder="1" applyAlignment="1">
      <alignment/>
    </xf>
    <xf numFmtId="0" fontId="8" fillId="0" borderId="0" xfId="0" applyFont="1" applyBorder="1" applyAlignment="1">
      <alignment/>
    </xf>
    <xf numFmtId="207" fontId="8" fillId="0" borderId="0" xfId="0" applyNumberFormat="1" applyFont="1" applyAlignment="1">
      <alignment/>
    </xf>
    <xf numFmtId="210" fontId="8" fillId="0" borderId="0" xfId="0" applyNumberFormat="1" applyFont="1" applyAlignment="1">
      <alignment/>
    </xf>
    <xf numFmtId="0" fontId="0" fillId="0" borderId="65" xfId="21" applyFont="1" applyBorder="1" applyProtection="1">
      <alignment/>
      <protection locked="0"/>
    </xf>
    <xf numFmtId="0" fontId="0" fillId="0" borderId="67" xfId="21" applyFont="1" applyBorder="1" applyProtection="1">
      <alignment/>
      <protection locked="0"/>
    </xf>
    <xf numFmtId="0" fontId="0" fillId="0" borderId="14" xfId="21" applyFont="1" applyBorder="1" applyProtection="1">
      <alignment/>
      <protection locked="0"/>
    </xf>
    <xf numFmtId="0" fontId="0" fillId="0" borderId="16" xfId="21" applyFont="1" applyBorder="1" applyProtection="1">
      <alignment/>
      <protection locked="0"/>
    </xf>
    <xf numFmtId="38" fontId="14" fillId="0" borderId="80" xfId="17" applyFont="1" applyBorder="1" applyAlignment="1">
      <alignment/>
    </xf>
    <xf numFmtId="208" fontId="0" fillId="0" borderId="81" xfId="21" applyNumberFormat="1" applyFont="1" applyBorder="1" applyProtection="1">
      <alignment/>
      <protection locked="0"/>
    </xf>
    <xf numFmtId="38" fontId="14" fillId="0" borderId="32" xfId="17" applyFont="1" applyBorder="1" applyAlignment="1">
      <alignment/>
    </xf>
    <xf numFmtId="208" fontId="0" fillId="0" borderId="34" xfId="21" applyNumberFormat="1" applyFont="1" applyBorder="1" applyProtection="1">
      <alignment/>
      <protection locked="0"/>
    </xf>
    <xf numFmtId="3" fontId="14" fillId="0" borderId="32" xfId="21" applyNumberFormat="1" applyFont="1" applyBorder="1" applyAlignment="1">
      <alignment horizontal="right" vertical="center"/>
      <protection/>
    </xf>
    <xf numFmtId="3" fontId="14" fillId="0" borderId="82" xfId="21" applyNumberFormat="1" applyFont="1" applyBorder="1" applyAlignment="1">
      <alignment horizontal="right" vertical="center"/>
      <protection/>
    </xf>
    <xf numFmtId="208" fontId="0" fillId="0" borderId="83" xfId="21" applyNumberFormat="1" applyFont="1" applyBorder="1" applyProtection="1">
      <alignment/>
      <protection locked="0"/>
    </xf>
    <xf numFmtId="207" fontId="23" fillId="0" borderId="84" xfId="17" applyNumberFormat="1" applyFont="1" applyBorder="1" applyAlignment="1">
      <alignment vertical="center"/>
    </xf>
    <xf numFmtId="207" fontId="23" fillId="0" borderId="85" xfId="17" applyNumberFormat="1" applyFont="1" applyBorder="1" applyAlignment="1">
      <alignment vertical="center"/>
    </xf>
    <xf numFmtId="207" fontId="23" fillId="0" borderId="86" xfId="17" applyNumberFormat="1" applyFont="1" applyBorder="1" applyAlignment="1">
      <alignment vertical="center"/>
    </xf>
    <xf numFmtId="207" fontId="23" fillId="0" borderId="87" xfId="17" applyNumberFormat="1" applyFont="1" applyBorder="1" applyAlignment="1">
      <alignment vertical="center"/>
    </xf>
    <xf numFmtId="207" fontId="23" fillId="0" borderId="88" xfId="17" applyNumberFormat="1" applyFont="1" applyBorder="1" applyAlignment="1">
      <alignment vertical="center"/>
    </xf>
    <xf numFmtId="211" fontId="23" fillId="0" borderId="84" xfId="17" applyNumberFormat="1" applyFont="1" applyBorder="1" applyAlignment="1">
      <alignment vertical="center"/>
    </xf>
    <xf numFmtId="211" fontId="23" fillId="0" borderId="85" xfId="17" applyNumberFormat="1" applyFont="1" applyBorder="1" applyAlignment="1">
      <alignment vertical="center"/>
    </xf>
    <xf numFmtId="211" fontId="23" fillId="0" borderId="87" xfId="17" applyNumberFormat="1" applyFont="1" applyBorder="1" applyAlignment="1">
      <alignment vertical="center"/>
    </xf>
    <xf numFmtId="207" fontId="23" fillId="0" borderId="84" xfId="0" applyNumberFormat="1" applyFont="1" applyBorder="1" applyAlignment="1">
      <alignment vertical="center"/>
    </xf>
    <xf numFmtId="207" fontId="23" fillId="0" borderId="85" xfId="0" applyNumberFormat="1" applyFont="1" applyBorder="1" applyAlignment="1">
      <alignment vertical="center"/>
    </xf>
    <xf numFmtId="207" fontId="23" fillId="0" borderId="86" xfId="0" applyNumberFormat="1" applyFont="1" applyBorder="1" applyAlignment="1">
      <alignment vertical="center"/>
    </xf>
    <xf numFmtId="210" fontId="23" fillId="0" borderId="84" xfId="0" applyNumberFormat="1" applyFont="1" applyBorder="1" applyAlignment="1">
      <alignment vertical="center"/>
    </xf>
    <xf numFmtId="210" fontId="23" fillId="0" borderId="85" xfId="0" applyNumberFormat="1" applyFont="1" applyBorder="1" applyAlignment="1">
      <alignment vertical="center"/>
    </xf>
    <xf numFmtId="210" fontId="23" fillId="0" borderId="86" xfId="0" applyNumberFormat="1" applyFont="1" applyBorder="1" applyAlignment="1">
      <alignment vertical="center"/>
    </xf>
    <xf numFmtId="210" fontId="23" fillId="0" borderId="87" xfId="0" applyNumberFormat="1" applyFont="1" applyBorder="1" applyAlignment="1">
      <alignment vertical="center"/>
    </xf>
    <xf numFmtId="210" fontId="23" fillId="0" borderId="88" xfId="0" applyNumberFormat="1" applyFont="1" applyBorder="1" applyAlignment="1">
      <alignment vertical="center"/>
    </xf>
    <xf numFmtId="212" fontId="23" fillId="0" borderId="84" xfId="0" applyNumberFormat="1" applyFont="1" applyBorder="1" applyAlignment="1">
      <alignment vertical="center"/>
    </xf>
    <xf numFmtId="212" fontId="23" fillId="0" borderId="85" xfId="0" applyNumberFormat="1" applyFont="1" applyBorder="1" applyAlignment="1">
      <alignment vertical="center"/>
    </xf>
    <xf numFmtId="212" fontId="23" fillId="0" borderId="86" xfId="0" applyNumberFormat="1" applyFont="1" applyBorder="1" applyAlignment="1">
      <alignment vertical="center"/>
    </xf>
    <xf numFmtId="212" fontId="23" fillId="0" borderId="87" xfId="0" applyNumberFormat="1" applyFont="1" applyBorder="1" applyAlignment="1">
      <alignment vertical="center"/>
    </xf>
    <xf numFmtId="212" fontId="23" fillId="0" borderId="89" xfId="0" applyNumberFormat="1" applyFont="1" applyBorder="1" applyAlignment="1">
      <alignment vertical="center"/>
    </xf>
    <xf numFmtId="212" fontId="23" fillId="0" borderId="90" xfId="0" applyNumberFormat="1" applyFont="1" applyBorder="1" applyAlignment="1">
      <alignment vertical="center"/>
    </xf>
    <xf numFmtId="212" fontId="23" fillId="0" borderId="91" xfId="0" applyNumberFormat="1" applyFont="1" applyBorder="1" applyAlignment="1">
      <alignment vertical="center"/>
    </xf>
    <xf numFmtId="212" fontId="23" fillId="0" borderId="92" xfId="0" applyNumberFormat="1" applyFont="1" applyBorder="1" applyAlignment="1">
      <alignment vertical="center"/>
    </xf>
    <xf numFmtId="207" fontId="23" fillId="0" borderId="93" xfId="17" applyNumberFormat="1" applyFont="1" applyBorder="1" applyAlignment="1">
      <alignment vertical="center"/>
    </xf>
    <xf numFmtId="211" fontId="23" fillId="0" borderId="86" xfId="17" applyNumberFormat="1" applyFont="1" applyBorder="1" applyAlignment="1">
      <alignment vertical="center"/>
    </xf>
    <xf numFmtId="211" fontId="8" fillId="0" borderId="0" xfId="17" applyNumberFormat="1" applyFont="1" applyAlignment="1">
      <alignment/>
    </xf>
    <xf numFmtId="0" fontId="21" fillId="0" borderId="0" xfId="0" applyFont="1" applyFill="1" applyBorder="1" applyAlignment="1">
      <alignment/>
    </xf>
    <xf numFmtId="190" fontId="0" fillId="0" borderId="0" xfId="0" applyNumberFormat="1" applyFill="1" applyAlignment="1">
      <alignment vertical="center"/>
    </xf>
    <xf numFmtId="188" fontId="0" fillId="0" borderId="0" xfId="0" applyNumberFormat="1" applyFill="1" applyAlignment="1">
      <alignment vertical="center"/>
    </xf>
    <xf numFmtId="0" fontId="0" fillId="0" borderId="0" xfId="0" applyNumberFormat="1" applyAlignment="1">
      <alignment/>
    </xf>
    <xf numFmtId="208" fontId="0" fillId="0" borderId="34" xfId="21" applyNumberFormat="1" applyFont="1" applyBorder="1" applyAlignment="1" applyProtection="1">
      <alignment horizontal="right"/>
      <protection locked="0"/>
    </xf>
    <xf numFmtId="0" fontId="3" fillId="0" borderId="0" xfId="0" applyFont="1" applyFill="1" applyAlignment="1">
      <alignment vertical="center" shrinkToFit="1"/>
    </xf>
    <xf numFmtId="0" fontId="0" fillId="0" borderId="0" xfId="0" applyFill="1" applyAlignment="1">
      <alignment vertical="center"/>
    </xf>
    <xf numFmtId="207" fontId="23" fillId="0" borderId="94" xfId="17" applyNumberFormat="1" applyFont="1" applyBorder="1" applyAlignment="1">
      <alignment vertical="center"/>
    </xf>
    <xf numFmtId="0" fontId="12" fillId="0" borderId="0" xfId="0" applyFont="1" applyBorder="1" applyAlignment="1">
      <alignment/>
    </xf>
    <xf numFmtId="188" fontId="3" fillId="0" borderId="0" xfId="0" applyNumberFormat="1" applyFont="1" applyAlignment="1">
      <alignment vertical="center"/>
    </xf>
    <xf numFmtId="0" fontId="23" fillId="0" borderId="95" xfId="0" applyFont="1" applyBorder="1" applyAlignment="1">
      <alignment vertical="center"/>
    </xf>
    <xf numFmtId="207" fontId="23" fillId="0" borderId="59" xfId="17" applyNumberFormat="1" applyFont="1" applyBorder="1" applyAlignment="1">
      <alignment vertical="center"/>
    </xf>
    <xf numFmtId="211" fontId="23" fillId="0" borderId="59" xfId="17" applyNumberFormat="1" applyFont="1" applyBorder="1" applyAlignment="1">
      <alignment vertical="center"/>
    </xf>
    <xf numFmtId="207" fontId="23" fillId="0" borderId="59" xfId="0" applyNumberFormat="1" applyFont="1" applyBorder="1" applyAlignment="1">
      <alignment vertical="center"/>
    </xf>
    <xf numFmtId="210" fontId="23" fillId="0" borderId="59" xfId="0" applyNumberFormat="1" applyFont="1" applyBorder="1" applyAlignment="1">
      <alignment vertical="center"/>
    </xf>
    <xf numFmtId="212" fontId="23" fillId="0" borderId="59" xfId="0" applyNumberFormat="1" applyFont="1" applyBorder="1" applyAlignment="1">
      <alignment vertical="center"/>
    </xf>
    <xf numFmtId="212" fontId="23" fillId="0" borderId="96" xfId="0" applyNumberFormat="1" applyFont="1" applyBorder="1" applyAlignment="1">
      <alignment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86" xfId="0" applyFont="1" applyFill="1" applyBorder="1" applyAlignment="1">
      <alignment horizontal="center" vertical="center"/>
    </xf>
    <xf numFmtId="0" fontId="23" fillId="0" borderId="97" xfId="0" applyFont="1" applyBorder="1" applyAlignment="1">
      <alignment vertical="center"/>
    </xf>
    <xf numFmtId="0" fontId="21" fillId="0" borderId="88" xfId="0" applyFont="1" applyFill="1" applyBorder="1" applyAlignment="1">
      <alignment horizontal="center" vertical="center"/>
    </xf>
    <xf numFmtId="211" fontId="23" fillId="0" borderId="88" xfId="17" applyNumberFormat="1" applyFont="1" applyBorder="1" applyAlignment="1">
      <alignment vertical="center"/>
    </xf>
    <xf numFmtId="207" fontId="23" fillId="0" borderId="88" xfId="0" applyNumberFormat="1" applyFont="1" applyBorder="1" applyAlignment="1">
      <alignment vertical="center"/>
    </xf>
    <xf numFmtId="212" fontId="23" fillId="0" borderId="88" xfId="0" applyNumberFormat="1" applyFont="1" applyBorder="1" applyAlignment="1">
      <alignment vertical="center"/>
    </xf>
    <xf numFmtId="212" fontId="23" fillId="0" borderId="98" xfId="0" applyNumberFormat="1" applyFont="1" applyBorder="1" applyAlignment="1">
      <alignment vertical="center"/>
    </xf>
    <xf numFmtId="38" fontId="8" fillId="0" borderId="0" xfId="0" applyNumberFormat="1" applyFont="1" applyAlignment="1">
      <alignment/>
    </xf>
    <xf numFmtId="0" fontId="26" fillId="0" borderId="0" xfId="0" applyFont="1" applyAlignment="1">
      <alignment/>
    </xf>
    <xf numFmtId="38" fontId="26" fillId="0" borderId="0" xfId="17" applyFont="1" applyAlignment="1">
      <alignment wrapText="1"/>
    </xf>
    <xf numFmtId="0" fontId="26" fillId="0" borderId="0" xfId="0" applyFont="1" applyAlignment="1">
      <alignment wrapText="1"/>
    </xf>
    <xf numFmtId="0" fontId="27" fillId="0" borderId="0" xfId="0" applyFont="1" applyAlignment="1">
      <alignment/>
    </xf>
    <xf numFmtId="37" fontId="27" fillId="0" borderId="54" xfId="22" applyFont="1" applyBorder="1" applyAlignment="1" applyProtection="1">
      <alignment horizontal="center" vertical="center"/>
      <protection/>
    </xf>
    <xf numFmtId="0" fontId="28" fillId="0" borderId="0" xfId="0" applyFont="1" applyAlignment="1">
      <alignment/>
    </xf>
    <xf numFmtId="38" fontId="29" fillId="0" borderId="99" xfId="17" applyFont="1" applyBorder="1" applyAlignment="1">
      <alignment/>
    </xf>
    <xf numFmtId="38" fontId="29" fillId="0" borderId="72" xfId="17" applyFont="1" applyBorder="1" applyAlignment="1">
      <alignment/>
    </xf>
    <xf numFmtId="197" fontId="29" fillId="0" borderId="67" xfId="17" applyNumberFormat="1" applyFont="1" applyBorder="1" applyAlignment="1">
      <alignment vertical="center"/>
    </xf>
    <xf numFmtId="197" fontId="29" fillId="0" borderId="34" xfId="17" applyNumberFormat="1" applyFont="1" applyBorder="1" applyAlignment="1">
      <alignment vertical="center"/>
    </xf>
    <xf numFmtId="0" fontId="30" fillId="0" borderId="100" xfId="21" applyNumberFormat="1" applyFont="1" applyBorder="1" applyAlignment="1">
      <alignment horizontal="center"/>
      <protection/>
    </xf>
    <xf numFmtId="0" fontId="30" fillId="0" borderId="101" xfId="21" applyFont="1" applyBorder="1">
      <alignment/>
      <protection/>
    </xf>
    <xf numFmtId="0" fontId="30" fillId="0" borderId="101" xfId="21" applyNumberFormat="1" applyFont="1" applyBorder="1" applyAlignment="1">
      <alignment horizontal="center"/>
      <protection/>
    </xf>
    <xf numFmtId="0" fontId="30" fillId="0" borderId="102" xfId="21" applyFont="1" applyBorder="1">
      <alignment/>
      <protection/>
    </xf>
    <xf numFmtId="0" fontId="30" fillId="0" borderId="23" xfId="21" applyNumberFormat="1" applyFont="1" applyBorder="1" applyAlignment="1">
      <alignment horizontal="center"/>
      <protection/>
    </xf>
    <xf numFmtId="0" fontId="30" fillId="0" borderId="103" xfId="21" applyNumberFormat="1" applyFont="1" applyBorder="1" applyAlignment="1">
      <alignment horizontal="center"/>
      <protection/>
    </xf>
    <xf numFmtId="0" fontId="30" fillId="0" borderId="104" xfId="21" applyNumberFormat="1" applyFont="1" applyBorder="1" applyAlignment="1">
      <alignment horizontal="center" shrinkToFit="1"/>
      <protection/>
    </xf>
    <xf numFmtId="0" fontId="30" fillId="0" borderId="105" xfId="21" applyNumberFormat="1" applyFont="1" applyBorder="1" applyAlignment="1">
      <alignment horizontal="center"/>
      <protection/>
    </xf>
    <xf numFmtId="0" fontId="30" fillId="0" borderId="23" xfId="21" applyFont="1" applyBorder="1">
      <alignment/>
      <protection/>
    </xf>
    <xf numFmtId="0" fontId="30" fillId="0" borderId="24" xfId="21" applyFont="1" applyBorder="1">
      <alignment/>
      <protection/>
    </xf>
    <xf numFmtId="0" fontId="30" fillId="0" borderId="25" xfId="21" applyFont="1" applyBorder="1">
      <alignment/>
      <protection/>
    </xf>
    <xf numFmtId="0" fontId="30" fillId="0" borderId="27" xfId="21" applyFont="1" applyBorder="1">
      <alignment/>
      <protection/>
    </xf>
    <xf numFmtId="0" fontId="30" fillId="0" borderId="57" xfId="21" applyFont="1" applyBorder="1">
      <alignment/>
      <protection/>
    </xf>
    <xf numFmtId="0" fontId="30" fillId="0" borderId="26" xfId="21" applyFont="1" applyBorder="1">
      <alignment/>
      <protection/>
    </xf>
    <xf numFmtId="0" fontId="26" fillId="0" borderId="58" xfId="21" applyFont="1" applyBorder="1">
      <alignment/>
      <protection/>
    </xf>
    <xf numFmtId="0" fontId="30" fillId="0" borderId="2" xfId="21" applyFont="1" applyBorder="1">
      <alignment/>
      <protection/>
    </xf>
    <xf numFmtId="49" fontId="25" fillId="0" borderId="0" xfId="0" applyNumberFormat="1" applyFont="1" applyBorder="1" applyAlignment="1">
      <alignment horizontal="left" vertical="center" textRotation="180"/>
    </xf>
    <xf numFmtId="0" fontId="30" fillId="0" borderId="0" xfId="21" applyFont="1" applyBorder="1">
      <alignment/>
      <protection/>
    </xf>
    <xf numFmtId="189" fontId="2" fillId="0" borderId="0" xfId="21" applyNumberFormat="1" applyFont="1" applyBorder="1" applyAlignment="1" applyProtection="1">
      <alignment vertical="center"/>
      <protection locked="0"/>
    </xf>
    <xf numFmtId="0" fontId="32" fillId="0" borderId="57" xfId="21" applyFont="1" applyBorder="1" applyAlignment="1" applyProtection="1">
      <alignment horizontal="center"/>
      <protection locked="0"/>
    </xf>
    <xf numFmtId="0" fontId="32" fillId="0" borderId="58" xfId="21" applyFont="1" applyBorder="1" applyAlignment="1" applyProtection="1">
      <alignment horizontal="center"/>
      <protection locked="0"/>
    </xf>
    <xf numFmtId="188" fontId="13" fillId="0" borderId="106" xfId="21" applyNumberFormat="1" applyFont="1" applyFill="1" applyBorder="1" applyAlignment="1" applyProtection="1">
      <alignment horizontal="right" vertical="center"/>
      <protection locked="0"/>
    </xf>
    <xf numFmtId="188" fontId="13" fillId="0" borderId="107" xfId="21" applyNumberFormat="1" applyFont="1" applyFill="1" applyBorder="1" applyAlignment="1" applyProtection="1">
      <alignment horizontal="right" vertical="center"/>
      <protection locked="0"/>
    </xf>
    <xf numFmtId="188" fontId="13" fillId="0" borderId="108" xfId="21" applyNumberFormat="1" applyFont="1" applyFill="1" applyBorder="1" applyAlignment="1" applyProtection="1">
      <alignment horizontal="right" vertical="center"/>
      <protection locked="0"/>
    </xf>
    <xf numFmtId="189" fontId="13" fillId="0" borderId="109" xfId="21" applyNumberFormat="1" applyFont="1" applyFill="1" applyBorder="1" applyAlignment="1" applyProtection="1">
      <alignment horizontal="right" vertical="center"/>
      <protection locked="0"/>
    </xf>
    <xf numFmtId="0" fontId="33" fillId="4" borderId="110" xfId="21" applyNumberFormat="1" applyFont="1" applyFill="1" applyBorder="1" applyAlignment="1">
      <alignment horizontal="center"/>
      <protection/>
    </xf>
    <xf numFmtId="0" fontId="33" fillId="4" borderId="111" xfId="21" applyNumberFormat="1" applyFont="1" applyFill="1" applyBorder="1" applyAlignment="1">
      <alignment horizontal="center"/>
      <protection/>
    </xf>
    <xf numFmtId="0" fontId="33" fillId="4" borderId="112" xfId="21" applyNumberFormat="1" applyFont="1" applyFill="1" applyBorder="1" applyAlignment="1">
      <alignment horizontal="center"/>
      <protection/>
    </xf>
    <xf numFmtId="0" fontId="33" fillId="4" borderId="113" xfId="21" applyNumberFormat="1" applyFont="1" applyFill="1" applyBorder="1" applyAlignment="1">
      <alignment horizontal="center"/>
      <protection/>
    </xf>
    <xf numFmtId="0" fontId="34" fillId="4" borderId="114" xfId="21" applyNumberFormat="1" applyFont="1" applyFill="1" applyBorder="1" applyAlignment="1">
      <alignment horizontal="center"/>
      <protection/>
    </xf>
    <xf numFmtId="0" fontId="33" fillId="4" borderId="115" xfId="21" applyNumberFormat="1" applyFont="1" applyFill="1" applyBorder="1" applyAlignment="1">
      <alignment horizontal="center"/>
      <protection/>
    </xf>
    <xf numFmtId="0" fontId="33" fillId="4" borderId="105" xfId="21" applyNumberFormat="1" applyFont="1" applyFill="1" applyBorder="1" applyAlignment="1">
      <alignment horizontal="center"/>
      <protection/>
    </xf>
    <xf numFmtId="0" fontId="33" fillId="4" borderId="103" xfId="21" applyNumberFormat="1" applyFont="1" applyFill="1" applyBorder="1" applyAlignment="1">
      <alignment horizontal="center"/>
      <protection/>
    </xf>
    <xf numFmtId="188" fontId="32" fillId="0" borderId="0" xfId="0" applyNumberFormat="1" applyFont="1" applyFill="1" applyAlignment="1">
      <alignment horizontal="center" vertical="center" shrinkToFit="1"/>
    </xf>
    <xf numFmtId="188" fontId="32" fillId="0" borderId="0" xfId="0" applyNumberFormat="1" applyFont="1" applyFill="1" applyAlignment="1">
      <alignment vertical="center"/>
    </xf>
    <xf numFmtId="188" fontId="27" fillId="4" borderId="0" xfId="0" applyNumberFormat="1" applyFont="1" applyFill="1" applyAlignment="1">
      <alignment horizontal="center" vertical="center" shrinkToFit="1"/>
    </xf>
    <xf numFmtId="49" fontId="14" fillId="0" borderId="0" xfId="0" applyNumberFormat="1" applyFont="1" applyFill="1" applyBorder="1" applyAlignment="1" applyProtection="1">
      <alignment horizontal="center" vertical="center" wrapText="1"/>
      <protection/>
    </xf>
    <xf numFmtId="190" fontId="0" fillId="5" borderId="0" xfId="0" applyNumberFormat="1" applyFill="1" applyAlignment="1">
      <alignment vertical="center"/>
    </xf>
    <xf numFmtId="212" fontId="37" fillId="2" borderId="116" xfId="0" applyNumberFormat="1" applyFont="1" applyFill="1" applyBorder="1" applyAlignment="1">
      <alignment vertical="center"/>
    </xf>
    <xf numFmtId="0" fontId="0" fillId="0" borderId="0" xfId="0" applyAlignment="1">
      <alignment horizontal="center"/>
    </xf>
    <xf numFmtId="0" fontId="0" fillId="0" borderId="33" xfId="0" applyBorder="1" applyAlignment="1">
      <alignment horizontal="center"/>
    </xf>
    <xf numFmtId="188" fontId="0" fillId="0" borderId="33" xfId="0" applyNumberFormat="1" applyBorder="1" applyAlignment="1">
      <alignment horizontal="center" vertical="center"/>
    </xf>
    <xf numFmtId="0" fontId="38" fillId="0" borderId="0" xfId="0" applyFont="1" applyAlignment="1">
      <alignment horizontal="left"/>
    </xf>
    <xf numFmtId="181" fontId="0" fillId="0" borderId="0" xfId="0" applyNumberFormat="1" applyAlignment="1">
      <alignment/>
    </xf>
    <xf numFmtId="181" fontId="0" fillId="0" borderId="33" xfId="0" applyNumberFormat="1" applyBorder="1" applyAlignment="1">
      <alignment/>
    </xf>
    <xf numFmtId="181" fontId="0" fillId="0" borderId="117" xfId="0" applyNumberFormat="1" applyBorder="1" applyAlignment="1">
      <alignment horizontal="right"/>
    </xf>
    <xf numFmtId="181" fontId="0" fillId="0" borderId="33" xfId="0" applyNumberFormat="1" applyBorder="1" applyAlignment="1">
      <alignment horizontal="right"/>
    </xf>
    <xf numFmtId="177" fontId="21" fillId="0" borderId="0" xfId="0" applyNumberFormat="1" applyFont="1" applyBorder="1" applyAlignment="1">
      <alignment/>
    </xf>
    <xf numFmtId="177" fontId="23" fillId="0" borderId="60" xfId="0" applyNumberFormat="1" applyFont="1" applyBorder="1" applyAlignment="1">
      <alignment horizontal="right"/>
    </xf>
    <xf numFmtId="177" fontId="23" fillId="0" borderId="84" xfId="0" applyNumberFormat="1" applyFont="1" applyBorder="1" applyAlignment="1">
      <alignment vertical="center"/>
    </xf>
    <xf numFmtId="177" fontId="23" fillId="0" borderId="85" xfId="0" applyNumberFormat="1" applyFont="1" applyBorder="1" applyAlignment="1">
      <alignment vertical="center"/>
    </xf>
    <xf numFmtId="177" fontId="23" fillId="0" borderId="86" xfId="0" applyNumberFormat="1" applyFont="1" applyBorder="1" applyAlignment="1">
      <alignment vertical="center"/>
    </xf>
    <xf numFmtId="177" fontId="23" fillId="0" borderId="87" xfId="0" applyNumberFormat="1" applyFont="1" applyBorder="1" applyAlignment="1">
      <alignment vertical="center"/>
    </xf>
    <xf numFmtId="177" fontId="23" fillId="0" borderId="88" xfId="0" applyNumberFormat="1" applyFont="1" applyBorder="1" applyAlignment="1">
      <alignment vertical="center"/>
    </xf>
    <xf numFmtId="177" fontId="23" fillId="0" borderId="85" xfId="0" applyNumberFormat="1" applyFont="1" applyBorder="1" applyAlignment="1">
      <alignment horizontal="right" vertical="center"/>
    </xf>
    <xf numFmtId="37" fontId="12" fillId="0" borderId="51" xfId="22" applyFont="1" applyBorder="1" applyAlignment="1" applyProtection="1">
      <alignment vertical="center"/>
      <protection/>
    </xf>
    <xf numFmtId="0" fontId="23" fillId="0" borderId="118" xfId="0" applyFont="1" applyBorder="1" applyAlignment="1">
      <alignment horizontal="center" vertical="center"/>
    </xf>
    <xf numFmtId="0" fontId="23" fillId="0" borderId="87" xfId="0" applyFont="1" applyBorder="1" applyAlignment="1">
      <alignment horizontal="center" vertical="center"/>
    </xf>
    <xf numFmtId="0" fontId="23" fillId="0" borderId="64"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84"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119" xfId="0" applyFont="1" applyBorder="1" applyAlignment="1">
      <alignment horizontal="center" vertical="center" shrinkToFit="1"/>
    </xf>
    <xf numFmtId="0" fontId="23" fillId="0" borderId="120" xfId="0" applyFont="1" applyBorder="1" applyAlignment="1">
      <alignment horizontal="center" vertical="center" shrinkToFit="1"/>
    </xf>
    <xf numFmtId="0" fontId="23" fillId="0" borderId="59" xfId="0" applyFont="1" applyFill="1" applyBorder="1" applyAlignment="1">
      <alignment horizontal="center" vertical="center" wrapText="1"/>
    </xf>
    <xf numFmtId="208" fontId="23" fillId="0" borderId="84" xfId="17" applyNumberFormat="1" applyFont="1" applyFill="1" applyBorder="1" applyAlignment="1">
      <alignment horizontal="center" vertical="center" wrapText="1"/>
    </xf>
    <xf numFmtId="208" fontId="23" fillId="0" borderId="59" xfId="17" applyNumberFormat="1" applyFont="1" applyFill="1" applyBorder="1" applyAlignment="1">
      <alignment horizontal="center" vertical="center" wrapText="1"/>
    </xf>
    <xf numFmtId="177" fontId="23" fillId="0" borderId="93" xfId="0" applyNumberFormat="1" applyFont="1" applyBorder="1" applyAlignment="1">
      <alignment horizontal="center" vertical="center" wrapText="1" shrinkToFit="1"/>
    </xf>
    <xf numFmtId="177" fontId="0" fillId="0" borderId="94" xfId="0" applyNumberFormat="1" applyBorder="1" applyAlignment="1">
      <alignment horizontal="center" wrapText="1"/>
    </xf>
    <xf numFmtId="0" fontId="25" fillId="0" borderId="0" xfId="0" applyFont="1" applyBorder="1" applyAlignment="1">
      <alignment horizontal="left" vertical="center" textRotation="180"/>
    </xf>
    <xf numFmtId="49" fontId="25" fillId="0" borderId="0" xfId="0" applyNumberFormat="1" applyFont="1" applyBorder="1" applyAlignment="1">
      <alignment horizontal="left" vertical="center" textRotation="180"/>
    </xf>
    <xf numFmtId="0" fontId="0" fillId="0" borderId="60" xfId="0" applyBorder="1" applyAlignment="1">
      <alignment horizontal="center" vertical="center" wrapText="1"/>
    </xf>
    <xf numFmtId="0" fontId="23" fillId="0" borderId="85" xfId="0" applyFont="1" applyBorder="1" applyAlignment="1">
      <alignment horizontal="center" vertical="center" wrapText="1"/>
    </xf>
    <xf numFmtId="0" fontId="23" fillId="0" borderId="86" xfId="0" applyFont="1" applyBorder="1" applyAlignment="1">
      <alignment horizontal="center" vertical="center" wrapText="1"/>
    </xf>
    <xf numFmtId="37" fontId="12" fillId="0" borderId="121" xfId="22" applyFont="1" applyBorder="1" applyAlignment="1" applyProtection="1">
      <alignment horizontal="center" vertical="center"/>
      <protection/>
    </xf>
    <xf numFmtId="37" fontId="12" fillId="0" borderId="122" xfId="22" applyFont="1" applyBorder="1" applyAlignment="1" applyProtection="1">
      <alignment horizontal="center" vertical="center"/>
      <protection/>
    </xf>
    <xf numFmtId="37" fontId="12" fillId="0" borderId="123" xfId="22" applyFont="1" applyBorder="1" applyAlignment="1" applyProtection="1">
      <alignment horizontal="center" vertical="center"/>
      <protection/>
    </xf>
    <xf numFmtId="0" fontId="2" fillId="0" borderId="124" xfId="21" applyFont="1" applyBorder="1" applyAlignment="1" applyProtection="1">
      <alignment horizontal="distributed" vertical="center"/>
      <protection locked="0"/>
    </xf>
    <xf numFmtId="0" fontId="2" fillId="0" borderId="125" xfId="21" applyFont="1" applyBorder="1" applyAlignment="1" applyProtection="1">
      <alignment horizontal="distributed" vertical="center"/>
      <protection locked="0"/>
    </xf>
    <xf numFmtId="188" fontId="2" fillId="0" borderId="124" xfId="21" applyNumberFormat="1" applyFont="1" applyBorder="1" applyAlignment="1" applyProtection="1">
      <alignment horizontal="center" vertical="center"/>
      <protection locked="0"/>
    </xf>
    <xf numFmtId="188" fontId="2" fillId="0" borderId="126" xfId="21" applyNumberFormat="1" applyFont="1" applyBorder="1" applyAlignment="1" applyProtection="1">
      <alignment horizontal="center" vertical="center"/>
      <protection locked="0"/>
    </xf>
    <xf numFmtId="0" fontId="30" fillId="0" borderId="127" xfId="21" applyNumberFormat="1" applyFont="1" applyBorder="1" applyAlignment="1">
      <alignment horizontal="center"/>
      <protection/>
    </xf>
    <xf numFmtId="0" fontId="31" fillId="0" borderId="128" xfId="21" applyFont="1" applyBorder="1" applyAlignment="1">
      <alignment horizontal="center"/>
      <protection/>
    </xf>
    <xf numFmtId="0" fontId="31" fillId="0" borderId="129" xfId="21" applyFont="1" applyBorder="1" applyAlignment="1">
      <alignment horizontal="center"/>
      <protection/>
    </xf>
    <xf numFmtId="188" fontId="2" fillId="0" borderId="130" xfId="21" applyNumberFormat="1" applyFont="1" applyBorder="1" applyAlignment="1" applyProtection="1">
      <alignment horizontal="distributed" vertical="center"/>
      <protection locked="0"/>
    </xf>
    <xf numFmtId="188" fontId="2" fillId="0" borderId="131" xfId="21" applyNumberFormat="1" applyFont="1" applyBorder="1" applyAlignment="1" applyProtection="1">
      <alignment horizontal="distributed" vertical="center"/>
      <protection locked="0"/>
    </xf>
    <xf numFmtId="0" fontId="2" fillId="0" borderId="1" xfId="21" applyFont="1" applyBorder="1" applyAlignment="1" applyProtection="1">
      <alignment horizontal="center" vertical="center"/>
      <protection locked="0"/>
    </xf>
    <xf numFmtId="0" fontId="2" fillId="0" borderId="101" xfId="21" applyFont="1" applyBorder="1" applyAlignment="1" applyProtection="1">
      <alignment horizontal="center" vertical="center"/>
      <protection locked="0"/>
    </xf>
    <xf numFmtId="0" fontId="2" fillId="0" borderId="132" xfId="21" applyFont="1" applyBorder="1" applyAlignment="1" applyProtection="1">
      <alignment horizontal="center" vertical="center"/>
      <protection locked="0"/>
    </xf>
    <xf numFmtId="0" fontId="2" fillId="0" borderId="133" xfId="21" applyFont="1" applyBorder="1" applyAlignment="1" applyProtection="1">
      <alignment horizontal="center" vertical="center"/>
      <protection locked="0"/>
    </xf>
    <xf numFmtId="188" fontId="35" fillId="0" borderId="0" xfId="0" applyNumberFormat="1" applyFont="1" applyFill="1" applyAlignment="1">
      <alignment horizontal="center" vertical="center" wrapText="1" shrinkToFit="1"/>
    </xf>
    <xf numFmtId="188" fontId="35" fillId="0" borderId="0" xfId="0" applyNumberFormat="1" applyFont="1" applyFill="1" applyAlignment="1">
      <alignment horizontal="center" vertical="center" shrinkToFit="1"/>
    </xf>
    <xf numFmtId="0" fontId="32" fillId="0" borderId="0" xfId="0" applyFont="1" applyFill="1" applyAlignment="1">
      <alignment horizontal="center" vertical="center" shrinkToFit="1"/>
    </xf>
    <xf numFmtId="0" fontId="36" fillId="0" borderId="0" xfId="0" applyFont="1" applyFill="1" applyAlignment="1">
      <alignment horizontal="center" vertical="center" wrapText="1" shrinkToFit="1"/>
    </xf>
    <xf numFmtId="0" fontId="36" fillId="0" borderId="0" xfId="0" applyFont="1" applyFill="1" applyAlignment="1">
      <alignment horizontal="center" vertical="center" shrinkToFit="1"/>
    </xf>
    <xf numFmtId="0" fontId="0" fillId="0" borderId="121" xfId="0" applyBorder="1" applyAlignment="1">
      <alignment horizontal="center"/>
    </xf>
    <xf numFmtId="0" fontId="0" fillId="0" borderId="123" xfId="0" applyBorder="1" applyAlignment="1">
      <alignment horizontal="center"/>
    </xf>
    <xf numFmtId="0" fontId="8" fillId="0" borderId="0" xfId="0" applyFont="1" applyAlignment="1">
      <alignment/>
    </xf>
    <xf numFmtId="212" fontId="23" fillId="0" borderId="93" xfId="0" applyNumberFormat="1" applyFont="1" applyBorder="1" applyAlignment="1">
      <alignment vertical="center"/>
    </xf>
    <xf numFmtId="212" fontId="37" fillId="2" borderId="134" xfId="0" applyNumberFormat="1"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１５計数資料" xfId="21"/>
    <cellStyle name="標準_H16_3月末住基人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4</xdr:row>
      <xdr:rowOff>161925</xdr:rowOff>
    </xdr:from>
    <xdr:to>
      <xdr:col>7</xdr:col>
      <xdr:colOff>504825</xdr:colOff>
      <xdr:row>10</xdr:row>
      <xdr:rowOff>104775</xdr:rowOff>
    </xdr:to>
    <xdr:sp>
      <xdr:nvSpPr>
        <xdr:cNvPr id="1" name="Rectangle 1"/>
        <xdr:cNvSpPr>
          <a:spLocks/>
        </xdr:cNvSpPr>
      </xdr:nvSpPr>
      <xdr:spPr>
        <a:xfrm>
          <a:off x="3971925" y="933450"/>
          <a:ext cx="1924050" cy="10287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latin typeface="ＭＳ 明朝"/>
              <a:ea typeface="ＭＳ 明朝"/>
              <a:cs typeface="ＭＳ 明朝"/>
            </a:rPr>
            <a:t>住基ネットの数値とは合わないので注意！
←交付税の算定に用いた数値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923925</xdr:colOff>
      <xdr:row>71</xdr:row>
      <xdr:rowOff>142875</xdr:rowOff>
    </xdr:from>
    <xdr:to>
      <xdr:col>23</xdr:col>
      <xdr:colOff>1114425</xdr:colOff>
      <xdr:row>78</xdr:row>
      <xdr:rowOff>76200</xdr:rowOff>
    </xdr:to>
    <xdr:sp>
      <xdr:nvSpPr>
        <xdr:cNvPr id="1" name="AutoShape 1"/>
        <xdr:cNvSpPr>
          <a:spLocks/>
        </xdr:cNvSpPr>
      </xdr:nvSpPr>
      <xdr:spPr>
        <a:xfrm rot="10800000">
          <a:off x="26622375" y="13211175"/>
          <a:ext cx="2590800" cy="1266825"/>
        </a:xfrm>
        <a:prstGeom prst="wedgeRoundRectCallout">
          <a:avLst>
            <a:gd name="adj1" fmla="val -7717"/>
            <a:gd name="adj2" fmla="val 101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明朝"/>
              <a:ea typeface="ＭＳ 明朝"/>
              <a:cs typeface="ＭＳ 明朝"/>
            </a:rPr>
            <a:t>単純平均としているため、データーベースにある標準財政規模の資料の数値とは異なる。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14</xdr:row>
      <xdr:rowOff>123825</xdr:rowOff>
    </xdr:from>
    <xdr:to>
      <xdr:col>11</xdr:col>
      <xdr:colOff>9525</xdr:colOff>
      <xdr:row>18</xdr:row>
      <xdr:rowOff>47625</xdr:rowOff>
    </xdr:to>
    <xdr:sp>
      <xdr:nvSpPr>
        <xdr:cNvPr id="1" name="Rectangle 1"/>
        <xdr:cNvSpPr>
          <a:spLocks/>
        </xdr:cNvSpPr>
      </xdr:nvSpPr>
      <xdr:spPr>
        <a:xfrm>
          <a:off x="5705475" y="2657475"/>
          <a:ext cx="5762625" cy="6477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latin typeface="ＭＳ 明朝"/>
              <a:ea typeface="ＭＳ 明朝"/>
              <a:cs typeface="ＭＳ 明朝"/>
            </a:rPr>
            <a:t>H19串刺しデータより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66675</xdr:rowOff>
    </xdr:from>
    <xdr:to>
      <xdr:col>8</xdr:col>
      <xdr:colOff>742950</xdr:colOff>
      <xdr:row>1</xdr:row>
      <xdr:rowOff>200025</xdr:rowOff>
    </xdr:to>
    <xdr:sp>
      <xdr:nvSpPr>
        <xdr:cNvPr id="1" name="Rectangle 38"/>
        <xdr:cNvSpPr>
          <a:spLocks/>
        </xdr:cNvSpPr>
      </xdr:nvSpPr>
      <xdr:spPr>
        <a:xfrm>
          <a:off x="1676400" y="66675"/>
          <a:ext cx="5419725" cy="304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latin typeface="ＭＳ 明朝"/>
              <a:ea typeface="ＭＳ 明朝"/>
              <a:cs typeface="ＭＳ 明朝"/>
            </a:rPr>
            <a:t>数値は１８年報と変わらず。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115015\&#27770;&#31639;&#32113;&#35336;&#38306;&#20418;\WINDOWS\&#65411;&#65438;&#65405;&#65400;&#65412;&#65391;&#65420;&#65439;\&#20869;&#23665;\&#65320;&#65297;&#65300;&#35336;&#25968;&#36039;&#26009;\&#35336;&#25968;&#36039;&#26009;\&#9320;&#34920;&#20107;&#26989;&#36027;&#35036;&#27491;&#12395;&#12424;&#12427;&#22522;&#36001;&#38656;&#35201;&#38989;&#31639;&#20837;&#20844;&#20661;&#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df6\&#20316;&#26989;&#29992;\WINDOWS\&#65411;&#65438;&#65405;&#65400;&#65412;&#65391;&#65420;&#65439;\&#20869;&#23665;\&#65320;&#65297;&#65300;&#35336;&#25968;&#36039;&#26009;\&#35336;&#25968;&#36039;&#26009;\&#9320;&#34920;&#20107;&#26989;&#36027;&#35036;&#27491;&#12395;&#12424;&#12427;&#22522;&#36001;&#38656;&#35201;&#38989;&#31639;&#20837;&#20844;&#20661;&#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C73"/>
  <sheetViews>
    <sheetView tabSelected="1" view="pageBreakPreview" zoomScaleSheetLayoutView="100" workbookViewId="0" topLeftCell="A1">
      <selection activeCell="C1" sqref="C1"/>
    </sheetView>
  </sheetViews>
  <sheetFormatPr defaultColWidth="8.796875" defaultRowHeight="15"/>
  <cols>
    <col min="1" max="1" width="18.3984375" style="105" customWidth="1"/>
    <col min="2" max="2" width="5" style="121" hidden="1" customWidth="1"/>
    <col min="3" max="3" width="9.5" style="105" customWidth="1"/>
    <col min="4" max="4" width="6" style="193" customWidth="1"/>
    <col min="5" max="7" width="7.5" style="105" customWidth="1"/>
    <col min="8" max="8" width="8" style="105" customWidth="1"/>
    <col min="9" max="9" width="10.3984375" style="105" bestFit="1" customWidth="1"/>
    <col min="10" max="11" width="8.8984375" style="105" customWidth="1"/>
    <col min="12" max="14" width="6.59765625" style="105" customWidth="1"/>
    <col min="15" max="15" width="6.3984375" style="105" bestFit="1" customWidth="1"/>
    <col min="16" max="18" width="7.09765625" style="105" customWidth="1"/>
    <col min="19" max="19" width="5.59765625" style="105" customWidth="1"/>
    <col min="20" max="20" width="5.5" style="105" bestFit="1" customWidth="1"/>
    <col min="21" max="21" width="7.09765625" style="106" customWidth="1"/>
    <col min="22" max="22" width="5" style="105" customWidth="1"/>
    <col min="23" max="23" width="5.59765625" style="105" customWidth="1"/>
    <col min="24" max="24" width="5.59765625" style="278" customWidth="1"/>
    <col min="25" max="25" width="8.5" style="105" customWidth="1"/>
    <col min="26" max="28" width="5.09765625" style="105" customWidth="1"/>
    <col min="29" max="29" width="8.69921875" style="105" customWidth="1"/>
    <col min="30" max="33" width="8.69921875" style="107" customWidth="1"/>
    <col min="34" max="16384" width="8.69921875" style="105" customWidth="1"/>
  </cols>
  <sheetData>
    <row r="1" spans="1:3" ht="17.25" customHeight="1">
      <c r="A1" s="306">
        <v>34</v>
      </c>
      <c r="B1" s="82"/>
      <c r="C1" s="104" t="s">
        <v>294</v>
      </c>
    </row>
    <row r="2" spans="1:2" ht="12" customHeight="1">
      <c r="A2" s="306"/>
      <c r="B2" s="82"/>
    </row>
    <row r="3" spans="1:3" ht="17.25">
      <c r="A3" s="306"/>
      <c r="B3" s="82"/>
      <c r="C3" s="108" t="s">
        <v>128</v>
      </c>
    </row>
    <row r="4" spans="1:2" ht="17.25">
      <c r="A4" s="306"/>
      <c r="B4" s="82"/>
    </row>
    <row r="5" spans="1:29" ht="20.25" customHeight="1">
      <c r="A5" s="306"/>
      <c r="B5" s="82"/>
      <c r="C5" s="289" t="s">
        <v>129</v>
      </c>
      <c r="D5" s="292" t="s">
        <v>278</v>
      </c>
      <c r="E5" s="295" t="s">
        <v>130</v>
      </c>
      <c r="F5" s="295"/>
      <c r="G5" s="295"/>
      <c r="H5" s="295" t="s">
        <v>295</v>
      </c>
      <c r="I5" s="295" t="s">
        <v>131</v>
      </c>
      <c r="J5" s="295" t="s">
        <v>132</v>
      </c>
      <c r="K5" s="295" t="s">
        <v>133</v>
      </c>
      <c r="L5" s="295" t="s">
        <v>134</v>
      </c>
      <c r="M5" s="295"/>
      <c r="N5" s="295"/>
      <c r="O5" s="295"/>
      <c r="P5" s="292" t="s">
        <v>135</v>
      </c>
      <c r="Q5" s="295" t="s">
        <v>136</v>
      </c>
      <c r="R5" s="295" t="s">
        <v>137</v>
      </c>
      <c r="S5" s="295" t="s">
        <v>138</v>
      </c>
      <c r="T5" s="295" t="s">
        <v>139</v>
      </c>
      <c r="U5" s="302" t="s">
        <v>274</v>
      </c>
      <c r="V5" s="299" t="s">
        <v>275</v>
      </c>
      <c r="W5" s="300"/>
      <c r="X5" s="304" t="s">
        <v>308</v>
      </c>
      <c r="Y5" s="295" t="s">
        <v>277</v>
      </c>
      <c r="Z5" s="295" t="s">
        <v>140</v>
      </c>
      <c r="AA5" s="295" t="s">
        <v>141</v>
      </c>
      <c r="AB5" s="297" t="s">
        <v>142</v>
      </c>
      <c r="AC5" s="109"/>
    </row>
    <row r="6" spans="1:29" ht="17.25">
      <c r="A6" s="306"/>
      <c r="B6" s="82"/>
      <c r="C6" s="290"/>
      <c r="D6" s="293"/>
      <c r="E6" s="110" t="s">
        <v>65</v>
      </c>
      <c r="F6" s="110" t="s">
        <v>169</v>
      </c>
      <c r="G6" s="111">
        <v>39538</v>
      </c>
      <c r="H6" s="296"/>
      <c r="I6" s="296"/>
      <c r="J6" s="296"/>
      <c r="K6" s="296"/>
      <c r="L6" s="296" t="s">
        <v>276</v>
      </c>
      <c r="M6" s="309" t="s">
        <v>292</v>
      </c>
      <c r="N6" s="309" t="s">
        <v>296</v>
      </c>
      <c r="O6" s="309" t="s">
        <v>143</v>
      </c>
      <c r="P6" s="301"/>
      <c r="Q6" s="296"/>
      <c r="R6" s="296"/>
      <c r="S6" s="296"/>
      <c r="T6" s="296"/>
      <c r="U6" s="303"/>
      <c r="V6" s="112" t="s">
        <v>144</v>
      </c>
      <c r="W6" s="112" t="s">
        <v>145</v>
      </c>
      <c r="X6" s="305"/>
      <c r="Y6" s="296"/>
      <c r="Z6" s="296"/>
      <c r="AA6" s="296"/>
      <c r="AB6" s="298"/>
      <c r="AC6" s="109"/>
    </row>
    <row r="7" spans="1:29" ht="16.5" customHeight="1">
      <c r="A7" s="306"/>
      <c r="B7" s="82"/>
      <c r="C7" s="291"/>
      <c r="D7" s="294"/>
      <c r="E7" s="113" t="s">
        <v>146</v>
      </c>
      <c r="F7" s="113" t="s">
        <v>146</v>
      </c>
      <c r="G7" s="113" t="s">
        <v>147</v>
      </c>
      <c r="H7" s="113"/>
      <c r="I7" s="114" t="s">
        <v>148</v>
      </c>
      <c r="J7" s="114" t="s">
        <v>148</v>
      </c>
      <c r="K7" s="114" t="s">
        <v>148</v>
      </c>
      <c r="L7" s="308"/>
      <c r="M7" s="310"/>
      <c r="N7" s="310"/>
      <c r="O7" s="310"/>
      <c r="P7" s="114" t="s">
        <v>149</v>
      </c>
      <c r="Q7" s="114" t="s">
        <v>149</v>
      </c>
      <c r="R7" s="114" t="s">
        <v>149</v>
      </c>
      <c r="S7" s="114" t="s">
        <v>149</v>
      </c>
      <c r="T7" s="114" t="s">
        <v>149</v>
      </c>
      <c r="U7" s="115" t="s">
        <v>149</v>
      </c>
      <c r="V7" s="114" t="s">
        <v>149</v>
      </c>
      <c r="W7" s="114" t="s">
        <v>149</v>
      </c>
      <c r="X7" s="279" t="s">
        <v>307</v>
      </c>
      <c r="Y7" s="114" t="s">
        <v>150</v>
      </c>
      <c r="Z7" s="114" t="s">
        <v>151</v>
      </c>
      <c r="AA7" s="114" t="s">
        <v>151</v>
      </c>
      <c r="AB7" s="116" t="s">
        <v>151</v>
      </c>
      <c r="AC7" s="109"/>
    </row>
    <row r="8" spans="1:29" ht="19.5" customHeight="1">
      <c r="A8" s="306"/>
      <c r="B8" s="82">
        <v>1</v>
      </c>
      <c r="C8" s="119" t="str">
        <f>VLOOKUP(B8,'財政力指数等'!$N$6:$O$65,2)</f>
        <v>福島市</v>
      </c>
      <c r="D8" s="210" t="str">
        <f>VLOOKUP($B8,'類型'!$A$2:$C$61,3)</f>
        <v>Ⅳ－１</v>
      </c>
      <c r="E8" s="190">
        <f>VLOOKUP(B8,'国調就業'!$A$4:$R$63,16)</f>
        <v>291121</v>
      </c>
      <c r="F8" s="166">
        <f>VLOOKUP(B8,'国調就業'!$A$4:$R$63,17)</f>
        <v>290869</v>
      </c>
      <c r="G8" s="166">
        <f>VLOOKUP(B8,'住基人口'!$A$7:$F$68,5)</f>
        <v>286764</v>
      </c>
      <c r="H8" s="171">
        <f>VLOOKUP(B8,'国調就業'!$A$4:$R$63,18)</f>
        <v>746.43</v>
      </c>
      <c r="I8" s="166">
        <f>VLOOKUP(B8,'財政力指数等'!$N$6:$AB$65,8)</f>
        <v>41886993</v>
      </c>
      <c r="J8" s="166">
        <f>VLOOKUP(B8,'財政力指数等'!$N$6:$AB$65,5)</f>
        <v>33368581</v>
      </c>
      <c r="K8" s="174">
        <f>VLOOKUP(B8,'財政力指数等'!$N$6:$AB$65,15)</f>
        <v>51794094</v>
      </c>
      <c r="L8" s="177">
        <f>VLOOKUP(B8,'財政力指数等'!$N$6:$AB$65,9)</f>
        <v>0.75</v>
      </c>
      <c r="M8" s="177">
        <f>VLOOKUP(B8,'財政力指数等'!$N$6:$AB$65,10)</f>
        <v>0.78</v>
      </c>
      <c r="N8" s="177">
        <f>VLOOKUP(B8,'財政力指数等'!$N$6:$AB$65,11)</f>
        <v>0.8</v>
      </c>
      <c r="O8" s="177">
        <f>ROUND((L8+M8+N8)/3,2)</f>
        <v>0.78</v>
      </c>
      <c r="P8" s="182">
        <f>VLOOKUP(B8,'財政力指数等'!$N$6:$AD$65,17)</f>
        <v>3.4</v>
      </c>
      <c r="Q8" s="182">
        <f>VLOOKUP(B8,'経常収支比率'!$A$5:$R$64,18)</f>
        <v>92.4</v>
      </c>
      <c r="R8" s="182">
        <f>VLOOKUP(B8,'経常収支比率'!$A$5:$R$64,17)</f>
        <v>88.8</v>
      </c>
      <c r="S8" s="182">
        <f>VLOOKUP($B8,'公債費比率'!$A$6:$G$65,3)</f>
        <v>14.8</v>
      </c>
      <c r="T8" s="182">
        <f>VLOOKUP($B8,'公債費比率'!$A$6:$G$65,4)</f>
        <v>16.7</v>
      </c>
      <c r="U8" s="182">
        <f>VLOOKUP($B8,'公債費比率'!$A$6:$G$65,5)</f>
        <v>10.6</v>
      </c>
      <c r="V8" s="335">
        <f>VLOOKUP($B8,'公債費比率'!$A$6:$G$65,7)</f>
        <v>7.6</v>
      </c>
      <c r="W8" s="335">
        <f>VLOOKUP($B8,'公債費比率'!$A$6:$G$65,6)</f>
        <v>7.6557331178095716</v>
      </c>
      <c r="X8" s="280">
        <f>VLOOKUP(B8,'将来負担比率'!$A:$C,3)</f>
        <v>42.7</v>
      </c>
      <c r="Y8" s="166">
        <f>VLOOKUP(B8,'国調就業'!$A$4:$O$63,15)</f>
        <v>139259</v>
      </c>
      <c r="Z8" s="182">
        <f>VLOOKUP(B8,'国調就業'!$A$4:$J$63,4)</f>
        <v>5.9</v>
      </c>
      <c r="AA8" s="182">
        <f>VLOOKUP(B8,'国調就業'!$A$4:$J$63,6)</f>
        <v>22.9</v>
      </c>
      <c r="AB8" s="186">
        <f>VLOOKUP(B8,'国調就業'!$A$4:$J$63,8)</f>
        <v>71.1</v>
      </c>
      <c r="AC8" s="109"/>
    </row>
    <row r="9" spans="1:29" ht="19.5" customHeight="1">
      <c r="A9" s="306"/>
      <c r="B9" s="82">
        <v>2</v>
      </c>
      <c r="C9" s="117" t="str">
        <f>VLOOKUP(B9,'財政力指数等'!$N$6:$O$65,2)</f>
        <v>会津若松市</v>
      </c>
      <c r="D9" s="211" t="str">
        <f>VLOOKUP($B9,'類型'!$A$2:$C$61,3)</f>
        <v>Ⅲ－１</v>
      </c>
      <c r="E9" s="167">
        <f>VLOOKUP(B9,'国調就業'!$A$4:$R$63,16)</f>
        <v>135415</v>
      </c>
      <c r="F9" s="167">
        <f>VLOOKUP(B9,'国調就業'!$A$4:$R$63,17)</f>
        <v>131389</v>
      </c>
      <c r="G9" s="167">
        <f>VLOOKUP(B9,'住基人口'!$A$7:$F$68,5)</f>
        <v>128404</v>
      </c>
      <c r="H9" s="172">
        <f>VLOOKUP(B9,'国調就業'!$A$4:$R$63,18)</f>
        <v>383.03</v>
      </c>
      <c r="I9" s="167">
        <f>VLOOKUP(B9,'財政力指数等'!$N$6:$AB$65,8)</f>
        <v>21268649</v>
      </c>
      <c r="J9" s="167">
        <f>VLOOKUP(B9,'財政力指数等'!$N$6:$AB$65,5)</f>
        <v>14700589</v>
      </c>
      <c r="K9" s="175">
        <f>VLOOKUP(B9,'財政力指数等'!$N$6:$AB$65,15)</f>
        <v>26667923</v>
      </c>
      <c r="L9" s="178">
        <f>VLOOKUP(B9,'財政力指数等'!$N$6:$AB$65,9)</f>
        <v>0.65</v>
      </c>
      <c r="M9" s="178">
        <f>VLOOKUP(B9,'財政力指数等'!$N$6:$AB$65,10)</f>
        <v>0.66</v>
      </c>
      <c r="N9" s="178">
        <f>VLOOKUP(B9,'財政力指数等'!$N$6:$AB$65,11)</f>
        <v>0.69</v>
      </c>
      <c r="O9" s="178">
        <f aca="true" t="shared" si="0" ref="O9:O17">ROUND((L9+M9+N9)/3,2)</f>
        <v>0.67</v>
      </c>
      <c r="P9" s="183">
        <f>VLOOKUP(B9,'財政力指数等'!$N$6:$AD$65,17)</f>
        <v>4.9</v>
      </c>
      <c r="Q9" s="183">
        <f>VLOOKUP(B9,'経常収支比率'!$A$5:$R$64,18)</f>
        <v>95.1</v>
      </c>
      <c r="R9" s="183">
        <f>VLOOKUP(B9,'経常収支比率'!$A$5:$R$64,17)</f>
        <v>90.9</v>
      </c>
      <c r="S9" s="183">
        <f>VLOOKUP($B9,'公債費比率'!$A$6:$G$65,3)</f>
        <v>18.5</v>
      </c>
      <c r="T9" s="183">
        <f>VLOOKUP($B9,'公債費比率'!$A$6:$G$65,4)</f>
        <v>20.1</v>
      </c>
      <c r="U9" s="183">
        <f>VLOOKUP($B9,'公債費比率'!$A$6:$G$65,5)</f>
        <v>14.6</v>
      </c>
      <c r="V9" s="183">
        <f>VLOOKUP($B9,'公債費比率'!$A$6:$G$65,7)</f>
        <v>19.1</v>
      </c>
      <c r="W9" s="183">
        <f>VLOOKUP($B9,'公債費比率'!$A$6:$G$65,6)</f>
        <v>18.97995501613778</v>
      </c>
      <c r="X9" s="281">
        <f>VLOOKUP(B9,'将来負担比率'!$A:$C,3)</f>
        <v>149.5</v>
      </c>
      <c r="Y9" s="167">
        <f>VLOOKUP(B9,'国調就業'!$A$4:$O$63,15)</f>
        <v>62570</v>
      </c>
      <c r="Z9" s="183">
        <f>VLOOKUP(B9,'国調就業'!$A$4:$J$63,4)</f>
        <v>6.7</v>
      </c>
      <c r="AA9" s="183">
        <f>VLOOKUP(B9,'国調就業'!$A$4:$J$63,6)</f>
        <v>26.6</v>
      </c>
      <c r="AB9" s="187">
        <f>VLOOKUP(B9,'国調就業'!$A$4:$J$63,8)</f>
        <v>66.7</v>
      </c>
      <c r="AC9" s="109"/>
    </row>
    <row r="10" spans="1:29" ht="19.5" customHeight="1">
      <c r="A10" s="306"/>
      <c r="B10" s="82">
        <v>3</v>
      </c>
      <c r="C10" s="117" t="str">
        <f>VLOOKUP(B10,'財政力指数等'!$N$6:$O$65,2)</f>
        <v>郡山市</v>
      </c>
      <c r="D10" s="211" t="str">
        <f>VLOOKUP($B10,'類型'!$A$2:$C$61,3)</f>
        <v>中核市</v>
      </c>
      <c r="E10" s="167">
        <f>VLOOKUP(B10,'国調就業'!$A$4:$R$63,16)</f>
        <v>334824</v>
      </c>
      <c r="F10" s="167">
        <f>VLOOKUP(B10,'国調就業'!$A$4:$R$63,17)</f>
        <v>338834</v>
      </c>
      <c r="G10" s="167">
        <f>VLOOKUP(B10,'住基人口'!$A$7:$F$68,5)</f>
        <v>334404</v>
      </c>
      <c r="H10" s="172">
        <f>VLOOKUP(B10,'国調就業'!$A$4:$R$63,18)</f>
        <v>757.06</v>
      </c>
      <c r="I10" s="167">
        <f>VLOOKUP(B10,'財政力指数等'!$N$6:$AB$65,8)</f>
        <v>51539794</v>
      </c>
      <c r="J10" s="167">
        <f>VLOOKUP(B10,'財政力指数等'!$N$6:$AB$65,5)</f>
        <v>40889253</v>
      </c>
      <c r="K10" s="175">
        <f>VLOOKUP(B10,'財政力指数等'!$N$6:$AB$65,15)</f>
        <v>63720231</v>
      </c>
      <c r="L10" s="178">
        <f>VLOOKUP(B10,'財政力指数等'!$N$6:$AB$65,9)</f>
        <v>0.74</v>
      </c>
      <c r="M10" s="178">
        <f>VLOOKUP(B10,'財政力指数等'!$N$6:$AB$65,10)</f>
        <v>0.78</v>
      </c>
      <c r="N10" s="178">
        <f>VLOOKUP(B10,'財政力指数等'!$N$6:$AB$65,11)</f>
        <v>0.79</v>
      </c>
      <c r="O10" s="178">
        <f t="shared" si="0"/>
        <v>0.77</v>
      </c>
      <c r="P10" s="183">
        <f>VLOOKUP(B10,'財政力指数等'!$N$6:$AD$65,17)</f>
        <v>3.9</v>
      </c>
      <c r="Q10" s="183">
        <f>VLOOKUP(B10,'経常収支比率'!$A$5:$R$64,18)</f>
        <v>95.9</v>
      </c>
      <c r="R10" s="183">
        <f>VLOOKUP(B10,'経常収支比率'!$A$5:$R$64,17)</f>
        <v>92.3</v>
      </c>
      <c r="S10" s="183">
        <f>VLOOKUP($B10,'公債費比率'!$A$6:$G$65,3)</f>
        <v>14.6</v>
      </c>
      <c r="T10" s="183">
        <f>VLOOKUP($B10,'公債費比率'!$A$6:$G$65,4)</f>
        <v>15.9</v>
      </c>
      <c r="U10" s="183">
        <f>VLOOKUP($B10,'公債費比率'!$A$6:$G$65,5)</f>
        <v>10.5</v>
      </c>
      <c r="V10" s="183">
        <f>VLOOKUP($B10,'公債費比率'!$A$6:$G$65,7)</f>
        <v>11.6</v>
      </c>
      <c r="W10" s="183">
        <f>VLOOKUP($B10,'公債費比率'!$A$6:$G$65,6)</f>
        <v>11.166380860732344</v>
      </c>
      <c r="X10" s="281">
        <f>VLOOKUP(B10,'将来負担比率'!$A:$C,3)</f>
        <v>58.9</v>
      </c>
      <c r="Y10" s="167">
        <f>VLOOKUP(B10,'国調就業'!$A$4:$O$63,15)</f>
        <v>159643</v>
      </c>
      <c r="Z10" s="183">
        <f>VLOOKUP(B10,'国調就業'!$A$4:$J$63,4)</f>
        <v>4.7</v>
      </c>
      <c r="AA10" s="183">
        <f>VLOOKUP(B10,'国調就業'!$A$4:$J$63,6)</f>
        <v>24.3</v>
      </c>
      <c r="AB10" s="187">
        <f>VLOOKUP(B10,'国調就業'!$A$4:$J$63,8)</f>
        <v>71</v>
      </c>
      <c r="AC10" s="109"/>
    </row>
    <row r="11" spans="1:29" ht="19.5" customHeight="1">
      <c r="A11" s="306"/>
      <c r="B11" s="82">
        <v>4</v>
      </c>
      <c r="C11" s="117" t="str">
        <f>VLOOKUP(B11,'財政力指数等'!$N$6:$O$65,2)</f>
        <v>いわき市</v>
      </c>
      <c r="D11" s="211" t="str">
        <f>VLOOKUP($B11,'類型'!$A$2:$C$61,3)</f>
        <v>中核市</v>
      </c>
      <c r="E11" s="167">
        <f>VLOOKUP(B11,'国調就業'!$A$4:$R$63,16)</f>
        <v>360138</v>
      </c>
      <c r="F11" s="167">
        <f>VLOOKUP(B11,'国調就業'!$A$4:$R$63,17)</f>
        <v>354492</v>
      </c>
      <c r="G11" s="167">
        <f>VLOOKUP(B11,'住基人口'!$A$7:$F$68,5)</f>
        <v>354364</v>
      </c>
      <c r="H11" s="172">
        <f>VLOOKUP(B11,'国調就業'!$A$4:$R$63,18)</f>
        <v>1231.34</v>
      </c>
      <c r="I11" s="167">
        <f>VLOOKUP(B11,'財政力指数等'!$N$6:$AB$65,8)</f>
        <v>56787267</v>
      </c>
      <c r="J11" s="167">
        <f>VLOOKUP(B11,'財政力指数等'!$N$6:$AB$65,5)</f>
        <v>40543785</v>
      </c>
      <c r="K11" s="175">
        <f>VLOOKUP(B11,'財政力指数等'!$N$6:$AB$65,15)</f>
        <v>68702058</v>
      </c>
      <c r="L11" s="178">
        <f>VLOOKUP(B11,'財政力指数等'!$N$6:$AB$65,9)</f>
        <v>0.67</v>
      </c>
      <c r="M11" s="178">
        <f>VLOOKUP(B11,'財政力指数等'!$N$6:$AB$65,10)</f>
        <v>0.7</v>
      </c>
      <c r="N11" s="178">
        <f>VLOOKUP(B11,'財政力指数等'!$N$6:$AB$65,11)</f>
        <v>0.71</v>
      </c>
      <c r="O11" s="178">
        <f t="shared" si="0"/>
        <v>0.69</v>
      </c>
      <c r="P11" s="183">
        <f>VLOOKUP(B11,'財政力指数等'!$N$6:$AD$65,17)</f>
        <v>2.2</v>
      </c>
      <c r="Q11" s="183">
        <f>VLOOKUP(B11,'経常収支比率'!$A$5:$R$64,18)</f>
        <v>91.9</v>
      </c>
      <c r="R11" s="183">
        <f>VLOOKUP(B11,'経常収支比率'!$A$5:$R$64,17)</f>
        <v>88.8</v>
      </c>
      <c r="S11" s="183">
        <f>VLOOKUP($B11,'公債費比率'!$A$6:$G$65,3)</f>
        <v>17.5</v>
      </c>
      <c r="T11" s="183">
        <f>VLOOKUP($B11,'公債費比率'!$A$6:$G$65,4)</f>
        <v>17.5</v>
      </c>
      <c r="U11" s="183">
        <f>VLOOKUP($B11,'公債費比率'!$A$6:$G$65,5)</f>
        <v>12</v>
      </c>
      <c r="V11" s="183">
        <f>VLOOKUP($B11,'公債費比率'!$A$6:$G$65,7)</f>
        <v>10.6</v>
      </c>
      <c r="W11" s="183">
        <f>VLOOKUP($B11,'公債費比率'!$A$6:$G$65,6)</f>
        <v>11.171034402782919</v>
      </c>
      <c r="X11" s="281">
        <f>VLOOKUP(B11,'将来負担比率'!$A:$C,3)</f>
        <v>120.3</v>
      </c>
      <c r="Y11" s="167">
        <f>VLOOKUP(B11,'国調就業'!$A$4:$O$63,15)</f>
        <v>160757</v>
      </c>
      <c r="Z11" s="183">
        <f>VLOOKUP(B11,'国調就業'!$A$4:$J$63,4)</f>
        <v>4.2</v>
      </c>
      <c r="AA11" s="183">
        <f>VLOOKUP(B11,'国調就業'!$A$4:$J$63,6)</f>
        <v>32</v>
      </c>
      <c r="AB11" s="187">
        <f>VLOOKUP(B11,'国調就業'!$A$4:$J$63,8)</f>
        <v>63.8</v>
      </c>
      <c r="AC11" s="109"/>
    </row>
    <row r="12" spans="1:29" ht="19.5" customHeight="1">
      <c r="A12" s="306"/>
      <c r="B12" s="82">
        <v>5</v>
      </c>
      <c r="C12" s="117" t="str">
        <f>VLOOKUP(B12,'財政力指数等'!$N$6:$O$65,2)</f>
        <v>白河市</v>
      </c>
      <c r="D12" s="211" t="str">
        <f>VLOOKUP($B12,'類型'!$A$2:$C$61,3)</f>
        <v>Ⅱ－０</v>
      </c>
      <c r="E12" s="167">
        <f>VLOOKUP(B12,'国調就業'!$A$4:$R$63,16)</f>
        <v>66048</v>
      </c>
      <c r="F12" s="167">
        <f>VLOOKUP(B12,'国調就業'!$A$4:$R$63,17)</f>
        <v>65707</v>
      </c>
      <c r="G12" s="167">
        <f>VLOOKUP(B12,'住基人口'!$A$7:$F$68,5)</f>
        <v>65511</v>
      </c>
      <c r="H12" s="172">
        <f>VLOOKUP(B12,'国調就業'!$A$4:$R$63,18)</f>
        <v>305.3</v>
      </c>
      <c r="I12" s="167">
        <f>VLOOKUP(B12,'財政力指数等'!$N$6:$AB$65,8)</f>
        <v>12200603</v>
      </c>
      <c r="J12" s="167">
        <f>VLOOKUP(B12,'財政力指数等'!$N$6:$AB$65,5)</f>
        <v>7488900</v>
      </c>
      <c r="K12" s="175">
        <f>VLOOKUP(B12,'財政力指数等'!$N$6:$AB$65,15)</f>
        <v>15767868</v>
      </c>
      <c r="L12" s="178">
        <f>VLOOKUP(B12,'財政力指数等'!$N$6:$AB$65,9)</f>
        <v>0.53</v>
      </c>
      <c r="M12" s="178">
        <f>VLOOKUP(B12,'財政力指数等'!$N$6:$AB$65,10)</f>
        <v>0.61</v>
      </c>
      <c r="N12" s="178">
        <f>VLOOKUP(B12,'財政力指数等'!$N$6:$AB$65,11)</f>
        <v>0.61</v>
      </c>
      <c r="O12" s="178">
        <f t="shared" si="0"/>
        <v>0.58</v>
      </c>
      <c r="P12" s="183">
        <f>VLOOKUP(B12,'財政力指数等'!$N$6:$AD$65,17)</f>
        <v>8.8</v>
      </c>
      <c r="Q12" s="183">
        <f>VLOOKUP(B12,'経常収支比率'!$A$5:$R$64,18)</f>
        <v>95.2</v>
      </c>
      <c r="R12" s="183">
        <f>VLOOKUP(B12,'経常収支比率'!$A$5:$R$64,17)</f>
        <v>90.9</v>
      </c>
      <c r="S12" s="183">
        <f>VLOOKUP($B12,'公債費比率'!$A$6:$G$65,3)</f>
        <v>18.1</v>
      </c>
      <c r="T12" s="183">
        <f>VLOOKUP($B12,'公債費比率'!$A$6:$G$65,4)</f>
        <v>20.9</v>
      </c>
      <c r="U12" s="183">
        <f>VLOOKUP($B12,'公債費比率'!$A$6:$G$65,5)</f>
        <v>14.3</v>
      </c>
      <c r="V12" s="183">
        <f>VLOOKUP($B12,'公債費比率'!$A$6:$G$65,7)</f>
        <v>23.6</v>
      </c>
      <c r="W12" s="183">
        <f>VLOOKUP($B12,'公債費比率'!$A$6:$G$65,6)</f>
        <v>23.391822938223726</v>
      </c>
      <c r="X12" s="281">
        <f>VLOOKUP(B12,'将来負担比率'!$A:$C,3)</f>
        <v>208.1</v>
      </c>
      <c r="Y12" s="167">
        <f>VLOOKUP(B12,'国調就業'!$A$4:$O$63,15)</f>
        <v>32135</v>
      </c>
      <c r="Z12" s="183">
        <f>VLOOKUP(B12,'国調就業'!$A$4:$J$63,4)</f>
        <v>7.8</v>
      </c>
      <c r="AA12" s="183">
        <f>VLOOKUP(B12,'国調就業'!$A$4:$J$63,6)</f>
        <v>37</v>
      </c>
      <c r="AB12" s="187">
        <f>VLOOKUP(B12,'国調就業'!$A$4:$J$63,8)</f>
        <v>55.2</v>
      </c>
      <c r="AC12" s="109"/>
    </row>
    <row r="13" spans="1:29" ht="19.5" customHeight="1">
      <c r="A13" s="306"/>
      <c r="B13" s="82">
        <v>6</v>
      </c>
      <c r="C13" s="117" t="str">
        <f>VLOOKUP(B13,'財政力指数等'!$N$6:$O$65,2)</f>
        <v>須賀川市</v>
      </c>
      <c r="D13" s="211" t="str">
        <f>VLOOKUP($B13,'類型'!$A$2:$C$61,3)</f>
        <v>Ⅱ－０</v>
      </c>
      <c r="E13" s="167">
        <f>VLOOKUP(B13,'国調就業'!$A$4:$R$63,16)</f>
        <v>79409</v>
      </c>
      <c r="F13" s="167">
        <f>VLOOKUP(B13,'国調就業'!$A$4:$R$63,17)</f>
        <v>80364</v>
      </c>
      <c r="G13" s="167">
        <f>VLOOKUP(B13,'住基人口'!$A$7:$F$68,5)</f>
        <v>80722</v>
      </c>
      <c r="H13" s="172">
        <f>VLOOKUP(B13,'国調就業'!$A$4:$R$63,18)</f>
        <v>279.55</v>
      </c>
      <c r="I13" s="167">
        <f>VLOOKUP(B13,'財政力指数等'!$N$6:$AB$65,8)</f>
        <v>13432395</v>
      </c>
      <c r="J13" s="167">
        <f>VLOOKUP(B13,'財政力指数等'!$N$6:$AB$65,5)</f>
        <v>8226556</v>
      </c>
      <c r="K13" s="175">
        <f>VLOOKUP(B13,'財政力指数等'!$N$6:$AB$65,15)</f>
        <v>16654150</v>
      </c>
      <c r="L13" s="178">
        <f>VLOOKUP(B13,'財政力指数等'!$N$6:$AB$65,9)</f>
        <v>0.58</v>
      </c>
      <c r="M13" s="178">
        <f>VLOOKUP(B13,'財政力指数等'!$N$6:$AB$65,10)</f>
        <v>0.59</v>
      </c>
      <c r="N13" s="178">
        <f>VLOOKUP(B13,'財政力指数等'!$N$6:$AB$65,11)</f>
        <v>0.61</v>
      </c>
      <c r="O13" s="178">
        <f t="shared" si="0"/>
        <v>0.59</v>
      </c>
      <c r="P13" s="183">
        <f>VLOOKUP(B13,'財政力指数等'!$N$6:$AD$65,17)</f>
        <v>6.5</v>
      </c>
      <c r="Q13" s="183">
        <f>VLOOKUP(B13,'経常収支比率'!$A$5:$R$64,18)</f>
        <v>93.6</v>
      </c>
      <c r="R13" s="183">
        <f>VLOOKUP(B13,'経常収支比率'!$A$5:$R$64,17)</f>
        <v>89.2</v>
      </c>
      <c r="S13" s="183">
        <f>VLOOKUP($B13,'公債費比率'!$A$6:$G$65,3)</f>
        <v>12.5</v>
      </c>
      <c r="T13" s="183">
        <f>VLOOKUP($B13,'公債費比率'!$A$6:$G$65,4)</f>
        <v>13.2</v>
      </c>
      <c r="U13" s="183">
        <f>VLOOKUP($B13,'公債費比率'!$A$6:$G$65,5)</f>
        <v>9.3</v>
      </c>
      <c r="V13" s="183">
        <f>VLOOKUP($B13,'公債費比率'!$A$6:$G$65,7)</f>
        <v>10.8</v>
      </c>
      <c r="W13" s="183">
        <f>VLOOKUP($B13,'公債費比率'!$A$6:$G$65,6)</f>
        <v>10.828972224306234</v>
      </c>
      <c r="X13" s="281">
        <f>VLOOKUP(B13,'将来負担比率'!$A:$C,3)</f>
        <v>109.5</v>
      </c>
      <c r="Y13" s="167">
        <f>VLOOKUP(B13,'国調就業'!$A$4:$O$63,15)</f>
        <v>39614</v>
      </c>
      <c r="Z13" s="183">
        <f>VLOOKUP(B13,'国調就業'!$A$4:$J$63,4)</f>
        <v>11.6</v>
      </c>
      <c r="AA13" s="183">
        <f>VLOOKUP(B13,'国調就業'!$A$4:$J$63,6)</f>
        <v>32.9</v>
      </c>
      <c r="AB13" s="187">
        <f>VLOOKUP(B13,'国調就業'!$A$4:$J$63,8)</f>
        <v>55.4</v>
      </c>
      <c r="AC13" s="109"/>
    </row>
    <row r="14" spans="1:29" ht="19.5" customHeight="1">
      <c r="A14" s="306"/>
      <c r="B14" s="82">
        <v>7</v>
      </c>
      <c r="C14" s="117" t="str">
        <f>VLOOKUP(B14,'財政力指数等'!$N$6:$O$65,2)</f>
        <v>喜多方市</v>
      </c>
      <c r="D14" s="211" t="str">
        <f>VLOOKUP($B14,'類型'!$A$2:$C$61,3)</f>
        <v>Ⅱ－０</v>
      </c>
      <c r="E14" s="167">
        <f>VLOOKUP(B14,'国調就業'!$A$4:$R$63,16)</f>
        <v>58571</v>
      </c>
      <c r="F14" s="167">
        <f>VLOOKUP(B14,'国調就業'!$A$4:$R$63,17)</f>
        <v>56396</v>
      </c>
      <c r="G14" s="167">
        <f>VLOOKUP(B14,'住基人口'!$A$7:$F$68,5)</f>
        <v>54793</v>
      </c>
      <c r="H14" s="172">
        <f>VLOOKUP(B14,'国調就業'!$A$4:$R$63,18)</f>
        <v>554.67</v>
      </c>
      <c r="I14" s="167">
        <f>VLOOKUP(B14,'財政力指数等'!$N$6:$AB$65,8)</f>
        <v>11790199</v>
      </c>
      <c r="J14" s="167">
        <f>VLOOKUP(B14,'財政力指数等'!$N$6:$AB$65,5)</f>
        <v>4754673</v>
      </c>
      <c r="K14" s="175">
        <f>VLOOKUP(B14,'財政力指数等'!$N$6:$AB$65,15)</f>
        <v>14736877</v>
      </c>
      <c r="L14" s="178">
        <f>VLOOKUP(B14,'財政力指数等'!$N$6:$AB$65,9)</f>
        <v>0.36</v>
      </c>
      <c r="M14" s="178">
        <f>VLOOKUP(B14,'財政力指数等'!$N$6:$AB$65,10)</f>
        <v>0.4</v>
      </c>
      <c r="N14" s="178">
        <f>VLOOKUP(B14,'財政力指数等'!$N$6:$AB$65,11)</f>
        <v>0.4</v>
      </c>
      <c r="O14" s="178">
        <f t="shared" si="0"/>
        <v>0.39</v>
      </c>
      <c r="P14" s="183">
        <f>VLOOKUP(B14,'財政力指数等'!$N$6:$AD$65,17)</f>
        <v>3.4</v>
      </c>
      <c r="Q14" s="183">
        <f>VLOOKUP(B14,'経常収支比率'!$A$5:$R$64,18)</f>
        <v>90</v>
      </c>
      <c r="R14" s="183">
        <f>VLOOKUP(B14,'経常収支比率'!$A$5:$R$64,17)</f>
        <v>85.7</v>
      </c>
      <c r="S14" s="183">
        <f>VLOOKUP($B14,'公債費比率'!$A$6:$G$65,3)</f>
        <v>13</v>
      </c>
      <c r="T14" s="183">
        <f>VLOOKUP($B14,'公債費比率'!$A$6:$G$65,4)</f>
        <v>19.1</v>
      </c>
      <c r="U14" s="183">
        <f>VLOOKUP($B14,'公債費比率'!$A$6:$G$65,5)</f>
        <v>10.7</v>
      </c>
      <c r="V14" s="183">
        <f>VLOOKUP($B14,'公債費比率'!$A$6:$G$65,7)</f>
        <v>20.9</v>
      </c>
      <c r="W14" s="183">
        <f>VLOOKUP($B14,'公債費比率'!$A$6:$G$65,6)</f>
        <v>19.777499097690132</v>
      </c>
      <c r="X14" s="281">
        <f>VLOOKUP(B14,'将来負担比率'!$A:$C,3)</f>
        <v>184.9</v>
      </c>
      <c r="Y14" s="167">
        <f>VLOOKUP(B14,'国調就業'!$A$4:$O$63,15)</f>
        <v>27803</v>
      </c>
      <c r="Z14" s="183">
        <f>VLOOKUP(B14,'国調就業'!$A$4:$J$63,4)</f>
        <v>16.7</v>
      </c>
      <c r="AA14" s="183">
        <f>VLOOKUP(B14,'国調就業'!$A$4:$J$63,6)</f>
        <v>32.1</v>
      </c>
      <c r="AB14" s="187">
        <f>VLOOKUP(B14,'国調就業'!$A$4:$J$63,8)</f>
        <v>51.2</v>
      </c>
      <c r="AC14" s="109"/>
    </row>
    <row r="15" spans="1:29" ht="19.5" customHeight="1">
      <c r="A15" s="306"/>
      <c r="B15" s="82">
        <v>8</v>
      </c>
      <c r="C15" s="117" t="str">
        <f>VLOOKUP(B15,'財政力指数等'!$N$6:$O$65,2)</f>
        <v>相馬市</v>
      </c>
      <c r="D15" s="211" t="str">
        <f>VLOOKUP($B15,'類型'!$A$2:$C$61,3)</f>
        <v>Ⅰ－１</v>
      </c>
      <c r="E15" s="167">
        <f>VLOOKUP(B15,'国調就業'!$A$4:$R$63,16)</f>
        <v>38842</v>
      </c>
      <c r="F15" s="167">
        <f>VLOOKUP(B15,'国調就業'!$A$4:$R$63,17)</f>
        <v>38630</v>
      </c>
      <c r="G15" s="167">
        <f>VLOOKUP(B15,'住基人口'!$A$7:$F$68,5)</f>
        <v>38883</v>
      </c>
      <c r="H15" s="172">
        <f>VLOOKUP(B15,'国調就業'!$A$4:$R$63,18)</f>
        <v>197.67</v>
      </c>
      <c r="I15" s="167">
        <f>VLOOKUP(B15,'財政力指数等'!$N$6:$AB$65,8)</f>
        <v>7381983</v>
      </c>
      <c r="J15" s="167">
        <f>VLOOKUP(B15,'財政力指数等'!$N$6:$AB$65,5)</f>
        <v>4105355</v>
      </c>
      <c r="K15" s="175">
        <f>VLOOKUP(B15,'財政力指数等'!$N$6:$AB$65,15)</f>
        <v>8535688</v>
      </c>
      <c r="L15" s="178">
        <f>VLOOKUP(B15,'財政力指数等'!$N$6:$AB$65,9)</f>
        <v>0.51</v>
      </c>
      <c r="M15" s="178">
        <f>VLOOKUP(B15,'財政力指数等'!$N$6:$AB$65,10)</f>
        <v>0.53</v>
      </c>
      <c r="N15" s="178">
        <f>VLOOKUP(B15,'財政力指数等'!$N$6:$AB$65,11)</f>
        <v>0.56</v>
      </c>
      <c r="O15" s="178">
        <f t="shared" si="0"/>
        <v>0.53</v>
      </c>
      <c r="P15" s="183">
        <f>VLOOKUP(B15,'財政力指数等'!$N$6:$AD$65,17)</f>
        <v>5.4</v>
      </c>
      <c r="Q15" s="183">
        <f>VLOOKUP(B15,'経常収支比率'!$A$5:$R$64,18)</f>
        <v>100.5</v>
      </c>
      <c r="R15" s="183">
        <f>VLOOKUP(B15,'経常収支比率'!$A$5:$R$64,17)</f>
        <v>96.8</v>
      </c>
      <c r="S15" s="183">
        <f>VLOOKUP($B15,'公債費比率'!$A$6:$G$65,3)</f>
        <v>18.8</v>
      </c>
      <c r="T15" s="183">
        <f>VLOOKUP($B15,'公債費比率'!$A$6:$G$65,4)</f>
        <v>24.7</v>
      </c>
      <c r="U15" s="183">
        <f>VLOOKUP($B15,'公債費比率'!$A$6:$G$65,5)</f>
        <v>11.1</v>
      </c>
      <c r="V15" s="183">
        <f>VLOOKUP($B15,'公債費比率'!$A$6:$G$65,7)</f>
        <v>22.5</v>
      </c>
      <c r="W15" s="183">
        <f>VLOOKUP($B15,'公債費比率'!$A$6:$G$65,6)</f>
        <v>27.43594761352365</v>
      </c>
      <c r="X15" s="281">
        <f>VLOOKUP(B15,'将来負担比率'!$A:$C,3)</f>
        <v>267.4</v>
      </c>
      <c r="Y15" s="167">
        <f>VLOOKUP(B15,'国調就業'!$A$4:$O$63,15)</f>
        <v>18893</v>
      </c>
      <c r="Z15" s="183">
        <f>VLOOKUP(B15,'国調就業'!$A$4:$J$63,4)</f>
        <v>11.5</v>
      </c>
      <c r="AA15" s="183">
        <f>VLOOKUP(B15,'国調就業'!$A$4:$J$63,6)</f>
        <v>33.4</v>
      </c>
      <c r="AB15" s="187">
        <f>VLOOKUP(B15,'国調就業'!$A$4:$J$63,8)</f>
        <v>55.1</v>
      </c>
      <c r="AC15" s="109"/>
    </row>
    <row r="16" spans="1:29" ht="19.5" customHeight="1">
      <c r="A16" s="306"/>
      <c r="B16" s="82">
        <v>9</v>
      </c>
      <c r="C16" s="117" t="str">
        <f>VLOOKUP(B16,'財政力指数等'!$N$6:$O$65,2)</f>
        <v>二本松市</v>
      </c>
      <c r="D16" s="211" t="str">
        <f>VLOOKUP($B16,'類型'!$A$2:$C$61,3)</f>
        <v>Ⅱ－０</v>
      </c>
      <c r="E16" s="167">
        <f>VLOOKUP(B16,'国調就業'!$A$4:$R$63,16)</f>
        <v>66077</v>
      </c>
      <c r="F16" s="167">
        <f>VLOOKUP(B16,'国調就業'!$A$4:$R$63,17)</f>
        <v>63178</v>
      </c>
      <c r="G16" s="167">
        <f>VLOOKUP(B16,'住基人口'!$A$7:$F$68,5)</f>
        <v>62691</v>
      </c>
      <c r="H16" s="172">
        <f>VLOOKUP(B16,'国調就業'!$A$4:$R$63,18)</f>
        <v>344.65</v>
      </c>
      <c r="I16" s="167">
        <f>VLOOKUP(B16,'財政力指数等'!$N$6:$AB$65,8)</f>
        <v>12459085</v>
      </c>
      <c r="J16" s="167">
        <f>VLOOKUP(B16,'財政力指数等'!$N$6:$AB$65,5)</f>
        <v>6371994</v>
      </c>
      <c r="K16" s="175">
        <f>VLOOKUP(B16,'財政力指数等'!$N$6:$AB$65,15)</f>
        <v>15716324</v>
      </c>
      <c r="L16" s="178">
        <f>VLOOKUP(B16,'財政力指数等'!$N$6:$AB$65,9)</f>
        <v>0.44</v>
      </c>
      <c r="M16" s="178">
        <f>VLOOKUP(B16,'財政力指数等'!$N$6:$AB$65,10)</f>
        <v>0.49</v>
      </c>
      <c r="N16" s="178">
        <f>VLOOKUP(B16,'財政力指数等'!$N$6:$AB$65,11)</f>
        <v>0.51</v>
      </c>
      <c r="O16" s="178">
        <f t="shared" si="0"/>
        <v>0.48</v>
      </c>
      <c r="P16" s="183">
        <f>VLOOKUP(B16,'財政力指数等'!$N$6:$AD$65,17)</f>
        <v>4.1</v>
      </c>
      <c r="Q16" s="183">
        <f>VLOOKUP(B16,'経常収支比率'!$A$5:$R$64,18)</f>
        <v>96.9</v>
      </c>
      <c r="R16" s="183">
        <f>VLOOKUP(B16,'経常収支比率'!$A$5:$R$64,17)</f>
        <v>92.4</v>
      </c>
      <c r="S16" s="183">
        <f>VLOOKUP($B16,'公債費比率'!$A$6:$G$65,3)</f>
        <v>13.6</v>
      </c>
      <c r="T16" s="183">
        <f>VLOOKUP($B16,'公債費比率'!$A$6:$G$65,4)</f>
        <v>17</v>
      </c>
      <c r="U16" s="183">
        <f>VLOOKUP($B16,'公債費比率'!$A$6:$G$65,5)</f>
        <v>10.8</v>
      </c>
      <c r="V16" s="183">
        <f>VLOOKUP($B16,'公債費比率'!$A$6:$G$65,7)</f>
        <v>18.9</v>
      </c>
      <c r="W16" s="183">
        <f>VLOOKUP($B16,'公債費比率'!$A$6:$G$65,6)</f>
        <v>19.506812491024974</v>
      </c>
      <c r="X16" s="281">
        <f>VLOOKUP(B16,'将来負担比率'!$A:$C,3)</f>
        <v>188</v>
      </c>
      <c r="Y16" s="167">
        <f>VLOOKUP(B16,'国調就業'!$A$4:$O$63,15)</f>
        <v>32322</v>
      </c>
      <c r="Z16" s="183">
        <f>VLOOKUP(B16,'国調就業'!$A$4:$J$63,4)</f>
        <v>11.9</v>
      </c>
      <c r="AA16" s="183">
        <f>VLOOKUP(B16,'国調就業'!$A$4:$J$63,6)</f>
        <v>37.6</v>
      </c>
      <c r="AB16" s="187">
        <f>VLOOKUP(B16,'国調就業'!$A$4:$J$63,8)</f>
        <v>50.5</v>
      </c>
      <c r="AC16" s="109"/>
    </row>
    <row r="17" spans="1:29" ht="19.5" customHeight="1">
      <c r="A17" s="306"/>
      <c r="B17" s="82">
        <v>10</v>
      </c>
      <c r="C17" s="117" t="str">
        <f>VLOOKUP(B17,'財政力指数等'!$N$6:$O$65,2)</f>
        <v>田村市</v>
      </c>
      <c r="D17" s="211" t="str">
        <f>VLOOKUP($B17,'類型'!$A$2:$C$61,3)</f>
        <v>Ⅰ－０</v>
      </c>
      <c r="E17" s="167">
        <f>VLOOKUP(B17,'国調就業'!$A$4:$R$63,16)</f>
        <v>45052</v>
      </c>
      <c r="F17" s="167">
        <f>VLOOKUP(B17,'国調就業'!$A$4:$R$63,17)</f>
        <v>43253</v>
      </c>
      <c r="G17" s="167">
        <f>VLOOKUP(B17,'住基人口'!$A$7:$F$68,5)</f>
        <v>43097</v>
      </c>
      <c r="H17" s="172">
        <f>VLOOKUP(B17,'国調就業'!$A$4:$R$63,18)</f>
        <v>458.3</v>
      </c>
      <c r="I17" s="167">
        <f>VLOOKUP(B17,'財政力指数等'!$N$6:$AB$65,8)</f>
        <v>9815144</v>
      </c>
      <c r="J17" s="167">
        <f>VLOOKUP(B17,'財政力指数等'!$N$6:$AB$65,5)</f>
        <v>3486349</v>
      </c>
      <c r="K17" s="175">
        <f>VLOOKUP(B17,'財政力指数等'!$N$6:$AB$65,15)</f>
        <v>12535096</v>
      </c>
      <c r="L17" s="178">
        <f>VLOOKUP(B17,'財政力指数等'!$N$6:$AB$65,9)</f>
        <v>0.34</v>
      </c>
      <c r="M17" s="178">
        <f>VLOOKUP(B17,'財政力指数等'!$N$6:$AB$65,10)</f>
        <v>0.35</v>
      </c>
      <c r="N17" s="178">
        <f>VLOOKUP(B17,'財政力指数等'!$N$6:$AB$65,11)</f>
        <v>0.36</v>
      </c>
      <c r="O17" s="178">
        <f t="shared" si="0"/>
        <v>0.35</v>
      </c>
      <c r="P17" s="183">
        <f>VLOOKUP(B17,'財政力指数等'!$N$6:$AD$65,17)</f>
        <v>4.3</v>
      </c>
      <c r="Q17" s="183">
        <f>VLOOKUP(B17,'経常収支比率'!$A$5:$R$64,18)</f>
        <v>95.9</v>
      </c>
      <c r="R17" s="183">
        <f>VLOOKUP(B17,'経常収支比率'!$A$5:$R$64,17)</f>
        <v>91</v>
      </c>
      <c r="S17" s="183">
        <f>VLOOKUP($B17,'公債費比率'!$A$6:$G$65,3)</f>
        <v>14.9</v>
      </c>
      <c r="T17" s="183">
        <f>VLOOKUP($B17,'公債費比率'!$A$6:$G$65,4)</f>
        <v>17.2</v>
      </c>
      <c r="U17" s="183">
        <f>VLOOKUP($B17,'公債費比率'!$A$6:$G$65,5)</f>
        <v>11.8</v>
      </c>
      <c r="V17" s="183">
        <f>VLOOKUP($B17,'公債費比率'!$A$6:$G$65,7)</f>
        <v>13.4</v>
      </c>
      <c r="W17" s="183">
        <f>VLOOKUP($B17,'公債費比率'!$A$6:$G$65,6)</f>
        <v>13.061013229316861</v>
      </c>
      <c r="X17" s="281">
        <f>VLOOKUP(B17,'将来負担比率'!$A:$C,3)</f>
        <v>132.5</v>
      </c>
      <c r="Y17" s="167">
        <f>VLOOKUP(B17,'国調就業'!$A$4:$O$63,15)</f>
        <v>22385</v>
      </c>
      <c r="Z17" s="183">
        <f>VLOOKUP(B17,'国調就業'!$A$4:$J$63,4)</f>
        <v>19.9</v>
      </c>
      <c r="AA17" s="183">
        <f>VLOOKUP(B17,'国調就業'!$A$4:$J$63,6)</f>
        <v>38.7</v>
      </c>
      <c r="AB17" s="187">
        <f>VLOOKUP(B17,'国調就業'!$A$4:$J$63,8)</f>
        <v>41.4</v>
      </c>
      <c r="AC17" s="109"/>
    </row>
    <row r="18" spans="1:29" ht="19.5" customHeight="1">
      <c r="A18" s="306"/>
      <c r="B18" s="82">
        <v>11</v>
      </c>
      <c r="C18" s="203" t="str">
        <f>VLOOKUP(B18,'財政力指数等'!$N$6:$O$65,2)</f>
        <v>南相馬市</v>
      </c>
      <c r="D18" s="212" t="str">
        <f>VLOOKUP($B18,'類型'!$A$2:$C$61,3)</f>
        <v>Ⅱ－１</v>
      </c>
      <c r="E18" s="200">
        <f>VLOOKUP(B18,'国調就業'!$A$4:$R$63,16)</f>
        <v>75246</v>
      </c>
      <c r="F18" s="204">
        <f>VLOOKUP(B18,'国調就業'!$A$4:$R$63,17)</f>
        <v>72837</v>
      </c>
      <c r="G18" s="204">
        <f>VLOOKUP(B18,'住基人口'!$A$7:$F$68,5)</f>
        <v>72418</v>
      </c>
      <c r="H18" s="205">
        <f>VLOOKUP(B18,'国調就業'!$A$4:$R$63,18)</f>
        <v>398.5</v>
      </c>
      <c r="I18" s="204">
        <f>VLOOKUP(B18,'財政力指数等'!$N$6:$AB$65,8)</f>
        <v>13293428</v>
      </c>
      <c r="J18" s="204">
        <f>VLOOKUP(B18,'財政力指数等'!$N$6:$AB$65,5)</f>
        <v>8939370</v>
      </c>
      <c r="K18" s="206">
        <f>VLOOKUP(B18,'財政力指数等'!$N$6:$AB$65,15)</f>
        <v>16915799</v>
      </c>
      <c r="L18" s="207">
        <f>VLOOKUP(B18,'財政力指数等'!$N$6:$AB$65,9)</f>
        <v>0.65</v>
      </c>
      <c r="M18" s="207">
        <f>VLOOKUP(B18,'財政力指数等'!$N$6:$AB$65,10)</f>
        <v>0.68</v>
      </c>
      <c r="N18" s="207">
        <f>VLOOKUP(B18,'財政力指数等'!$N$6:$AB$65,11)</f>
        <v>0.67</v>
      </c>
      <c r="O18" s="207">
        <f aca="true" t="shared" si="1" ref="O18:O68">ROUND((L18+M18+N18)/3,2)</f>
        <v>0.67</v>
      </c>
      <c r="P18" s="208">
        <f>VLOOKUP(B18,'財政力指数等'!$N$6:$AD$65,17)</f>
        <v>4.6</v>
      </c>
      <c r="Q18" s="208">
        <f>VLOOKUP(B18,'経常収支比率'!$A$5:$R$64,18)</f>
        <v>96</v>
      </c>
      <c r="R18" s="208">
        <f>VLOOKUP(B18,'経常収支比率'!$A$5:$R$64,17)</f>
        <v>91.9</v>
      </c>
      <c r="S18" s="208">
        <f>VLOOKUP($B18,'公債費比率'!$A$6:$G$65,3)</f>
        <v>15.2</v>
      </c>
      <c r="T18" s="208">
        <f>VLOOKUP($B18,'公債費比率'!$A$6:$G$65,4)</f>
        <v>18.6</v>
      </c>
      <c r="U18" s="208">
        <f>VLOOKUP($B18,'公債費比率'!$A$6:$G$65,5)</f>
        <v>9.5</v>
      </c>
      <c r="V18" s="183">
        <f>VLOOKUP($B18,'公債費比率'!$A$6:$G$65,7)</f>
        <v>16</v>
      </c>
      <c r="W18" s="183">
        <f>VLOOKUP($B18,'公債費比率'!$A$6:$G$65,6)</f>
        <v>17.18946406954352</v>
      </c>
      <c r="X18" s="281">
        <f>VLOOKUP(B18,'将来負担比率'!$A:$C,3)</f>
        <v>146.8</v>
      </c>
      <c r="Y18" s="204">
        <f>VLOOKUP(B18,'国調就業'!$A$4:$O$63,15)</f>
        <v>35175</v>
      </c>
      <c r="Z18" s="208">
        <f>VLOOKUP(B18,'国調就業'!$A$4:$J$63,4)</f>
        <v>8.9</v>
      </c>
      <c r="AA18" s="208">
        <f>VLOOKUP(B18,'国調就業'!$A$4:$J$63,6)</f>
        <v>34.3</v>
      </c>
      <c r="AB18" s="209">
        <f>VLOOKUP(B18,'国調就業'!$A$4:$J$63,8)</f>
        <v>56.8</v>
      </c>
      <c r="AC18" s="109"/>
    </row>
    <row r="19" spans="1:29" ht="19.5" customHeight="1">
      <c r="A19" s="306"/>
      <c r="B19" s="82">
        <v>12</v>
      </c>
      <c r="C19" s="203" t="str">
        <f>VLOOKUP(B19,'財政力指数等'!$N$6:$O$65,2)</f>
        <v>伊達市</v>
      </c>
      <c r="D19" s="212" t="str">
        <f>VLOOKUP($B19,'類型'!$A$2:$C$61,3)</f>
        <v>Ⅱ－０</v>
      </c>
      <c r="E19" s="204">
        <f>VLOOKUP(B19,'国調就業'!$A$4:$R$63,16)</f>
        <v>71817</v>
      </c>
      <c r="F19" s="204">
        <f>VLOOKUP(B19,'国調就業'!$A$4:$R$63,17)</f>
        <v>69289</v>
      </c>
      <c r="G19" s="204">
        <f>VLOOKUP(B19,'住基人口'!$A$7:$F$68,5)</f>
        <v>68939</v>
      </c>
      <c r="H19" s="205">
        <f>VLOOKUP(B19,'国調就業'!$A$4:$R$63,18)</f>
        <v>265.1</v>
      </c>
      <c r="I19" s="204">
        <f>VLOOKUP(B19,'財政力指数等'!$N$6:$AB$65,8)</f>
        <v>12200421</v>
      </c>
      <c r="J19" s="204">
        <f>VLOOKUP(B19,'財政力指数等'!$N$6:$AB$65,5)</f>
        <v>5850500</v>
      </c>
      <c r="K19" s="206">
        <f>VLOOKUP(B19,'財政力指数等'!$N$6:$AB$65,15)</f>
        <v>15873527</v>
      </c>
      <c r="L19" s="207">
        <f>VLOOKUP(B19,'財政力指数等'!$N$6:$AB$65,9)</f>
        <v>0.41</v>
      </c>
      <c r="M19" s="207">
        <f>VLOOKUP(B19,'財政力指数等'!$N$6:$AB$65,10)</f>
        <v>0.47</v>
      </c>
      <c r="N19" s="207">
        <f>VLOOKUP(B19,'財政力指数等'!$N$6:$AB$65,11)</f>
        <v>0.48</v>
      </c>
      <c r="O19" s="207">
        <f>ROUND((L19+M19+N19)/3,2)</f>
        <v>0.45</v>
      </c>
      <c r="P19" s="208">
        <f>VLOOKUP(B19,'財政力指数等'!$N$6:$AD$65,17)</f>
        <v>4.9</v>
      </c>
      <c r="Q19" s="208">
        <f>VLOOKUP(B19,'経常収支比率'!$A$5:$R$64,18)</f>
        <v>98.5</v>
      </c>
      <c r="R19" s="208">
        <f>VLOOKUP(B19,'経常収支比率'!$A$5:$R$64,17)</f>
        <v>93.3</v>
      </c>
      <c r="S19" s="208">
        <f>VLOOKUP($B19,'公債費比率'!$A$6:$G$65,3)</f>
        <v>15.9</v>
      </c>
      <c r="T19" s="208">
        <f>VLOOKUP($B19,'公債費比率'!$A$6:$G$65,4)</f>
        <v>16.9</v>
      </c>
      <c r="U19" s="208">
        <f>VLOOKUP($B19,'公債費比率'!$A$6:$G$65,5)</f>
        <v>11.9</v>
      </c>
      <c r="V19" s="183">
        <f>VLOOKUP($B19,'公債費比率'!$A$6:$G$65,7)</f>
        <v>15.9</v>
      </c>
      <c r="W19" s="183">
        <f>VLOOKUP($B19,'公債費比率'!$A$6:$G$65,6)</f>
        <v>15.314345572006582</v>
      </c>
      <c r="X19" s="281">
        <f>VLOOKUP(B19,'将来負担比率'!$A:$C,3)</f>
        <v>162.5</v>
      </c>
      <c r="Y19" s="204">
        <f>VLOOKUP(B19,'国調就業'!$A$4:$O$63,15)</f>
        <v>35620</v>
      </c>
      <c r="Z19" s="208">
        <f>VLOOKUP(B19,'国調就業'!$A$4:$J$63,4)</f>
        <v>16.3</v>
      </c>
      <c r="AA19" s="208">
        <f>VLOOKUP(B19,'国調就業'!$A$4:$J$63,6)</f>
        <v>32.7</v>
      </c>
      <c r="AB19" s="209">
        <f>VLOOKUP(B19,'国調就業'!$A$4:$J$63,8)</f>
        <v>51</v>
      </c>
      <c r="AC19" s="109"/>
    </row>
    <row r="20" spans="1:29" ht="19.5" customHeight="1">
      <c r="A20" s="306"/>
      <c r="B20" s="82">
        <v>13</v>
      </c>
      <c r="C20" s="118" t="str">
        <f>VLOOKUP(B20,'財政力指数等'!$N$6:$O$65,2)</f>
        <v>本宮市</v>
      </c>
      <c r="D20" s="212" t="str">
        <f>VLOOKUP($B20,'類型'!$A$2:$C$61,3)</f>
        <v>Ⅰ－０</v>
      </c>
      <c r="E20" s="168">
        <f>VLOOKUP(B20,'国調就業'!$A$4:$R$63,16)</f>
        <v>31541</v>
      </c>
      <c r="F20" s="168">
        <f>VLOOKUP(B20,'国調就業'!$A$4:$R$63,17)</f>
        <v>31367</v>
      </c>
      <c r="G20" s="168">
        <f>VLOOKUP(B20,'住基人口'!$A$7:$F$68,5)</f>
        <v>31734</v>
      </c>
      <c r="H20" s="191">
        <f>VLOOKUP(B20,'国調就業'!$A$4:$R$63,18)</f>
        <v>87.94</v>
      </c>
      <c r="I20" s="168">
        <f>VLOOKUP(B20,'財政力指数等'!$N$6:$AB$65,8)</f>
        <v>5734966</v>
      </c>
      <c r="J20" s="168">
        <f>VLOOKUP(B20,'財政力指数等'!$N$6:$AB$65,5)</f>
        <v>4069005</v>
      </c>
      <c r="K20" s="176">
        <f>VLOOKUP(B20,'財政力指数等'!$N$6:$AB$65,15)</f>
        <v>7381201</v>
      </c>
      <c r="L20" s="179">
        <f>VLOOKUP(B20,'財政力指数等'!$N$6:$AB$65,9)</f>
        <v>0.64</v>
      </c>
      <c r="M20" s="179">
        <f>VLOOKUP(B20,'財政力指数等'!$N$6:$AB$65,10)</f>
        <v>0.65</v>
      </c>
      <c r="N20" s="179">
        <f>VLOOKUP(B20,'財政力指数等'!$N$6:$AB$65,11)</f>
        <v>0.71</v>
      </c>
      <c r="O20" s="179">
        <f>ROUND((L20+M20+N20)/3,2)</f>
        <v>0.67</v>
      </c>
      <c r="P20" s="184">
        <f>VLOOKUP(B20,'財政力指数等'!$N$6:$AD$65,17)</f>
        <v>5.3</v>
      </c>
      <c r="Q20" s="184">
        <f>VLOOKUP(B20,'経常収支比率'!$A$5:$R$64,18)</f>
        <v>90.8</v>
      </c>
      <c r="R20" s="184">
        <f>VLOOKUP(B20,'経常収支比率'!$A$5:$R$64,17)</f>
        <v>86.4</v>
      </c>
      <c r="S20" s="184">
        <f>VLOOKUP($B20,'公債費比率'!$A$6:$G$65,3)</f>
        <v>10.1</v>
      </c>
      <c r="T20" s="184">
        <f>VLOOKUP($B20,'公債費比率'!$A$6:$G$65,4)</f>
        <v>14.7</v>
      </c>
      <c r="U20" s="184">
        <f>VLOOKUP($B20,'公債費比率'!$A$6:$G$65,5)</f>
        <v>9.9</v>
      </c>
      <c r="V20" s="184">
        <f>VLOOKUP($B20,'公債費比率'!$A$6:$G$65,7)</f>
        <v>21.5</v>
      </c>
      <c r="W20" s="184">
        <f>VLOOKUP($B20,'公債費比率'!$A$6:$G$65,6)</f>
        <v>20.532652815128973</v>
      </c>
      <c r="X20" s="282">
        <f>VLOOKUP(B20,'将来負担比率'!$A:$C,3)</f>
        <v>240</v>
      </c>
      <c r="Y20" s="168">
        <f>VLOOKUP(B20,'国調就業'!$A$4:$O$63,15)</f>
        <v>15745</v>
      </c>
      <c r="Z20" s="184">
        <f>VLOOKUP(B20,'国調就業'!$A$4:$J$63,4)</f>
        <v>8.1</v>
      </c>
      <c r="AA20" s="184">
        <f>VLOOKUP(B20,'国調就業'!$A$4:$J$63,6)</f>
        <v>36.8</v>
      </c>
      <c r="AB20" s="188">
        <f>VLOOKUP(B20,'国調就業'!$A$4:$J$63,8)</f>
        <v>55</v>
      </c>
      <c r="AC20" s="109"/>
    </row>
    <row r="21" spans="1:29" ht="19.5" customHeight="1">
      <c r="A21" s="306"/>
      <c r="B21" s="82"/>
      <c r="C21" s="287" t="s">
        <v>160</v>
      </c>
      <c r="D21" s="288"/>
      <c r="E21" s="169">
        <f>SUM(E8:E20)</f>
        <v>1654101</v>
      </c>
      <c r="F21" s="169">
        <f aca="true" t="shared" si="2" ref="F21:K21">SUM(F8:F20)</f>
        <v>1636605</v>
      </c>
      <c r="G21" s="169">
        <f t="shared" si="2"/>
        <v>1622724</v>
      </c>
      <c r="H21" s="169">
        <f t="shared" si="2"/>
        <v>6009.54</v>
      </c>
      <c r="I21" s="169">
        <f t="shared" si="2"/>
        <v>269790927</v>
      </c>
      <c r="J21" s="169">
        <f t="shared" si="2"/>
        <v>182794910</v>
      </c>
      <c r="K21" s="169">
        <f t="shared" si="2"/>
        <v>335000836</v>
      </c>
      <c r="L21" s="180">
        <f>'財政力指数等'!V66</f>
        <v>0.56</v>
      </c>
      <c r="M21" s="180">
        <f>'財政力指数等'!W66</f>
        <v>0.59</v>
      </c>
      <c r="N21" s="180">
        <f>'財政力指数等'!X66</f>
        <v>0.61</v>
      </c>
      <c r="O21" s="180">
        <f>'財政力指数等'!Y66</f>
        <v>0.59</v>
      </c>
      <c r="P21" s="185">
        <f>'財政力指数等'!AD66</f>
        <v>4.7</v>
      </c>
      <c r="Q21" s="185">
        <f>'経常収支比率'!R65</f>
        <v>94.8</v>
      </c>
      <c r="R21" s="185">
        <f>'経常収支比率'!Q65</f>
        <v>90.6</v>
      </c>
      <c r="S21" s="185">
        <f>'公債費比率'!C66</f>
        <v>15.2</v>
      </c>
      <c r="T21" s="185">
        <f>'公債費比率'!D66</f>
        <v>17.9</v>
      </c>
      <c r="U21" s="185">
        <f>'公債費比率'!E66</f>
        <v>11.3</v>
      </c>
      <c r="V21" s="185">
        <f>'公債費比率'!G66</f>
        <v>16.3</v>
      </c>
      <c r="W21" s="185">
        <f>'公債費比率'!F66</f>
        <v>16.6</v>
      </c>
      <c r="X21" s="283">
        <f>'将来負担比率'!C66</f>
        <v>154.7</v>
      </c>
      <c r="Y21" s="169">
        <f>SUM(Y8:Y20)</f>
        <v>781921</v>
      </c>
      <c r="Z21" s="185">
        <f>'国調就業'!D64</f>
        <v>7.6</v>
      </c>
      <c r="AA21" s="185">
        <f>'国調就業'!F64</f>
        <v>29.3</v>
      </c>
      <c r="AB21" s="189">
        <f>'国調就業'!H64</f>
        <v>63.1</v>
      </c>
      <c r="AC21" s="109"/>
    </row>
    <row r="22" spans="1:29" ht="19.5" customHeight="1">
      <c r="A22" s="306"/>
      <c r="B22" s="82">
        <v>14</v>
      </c>
      <c r="C22" s="119" t="str">
        <f>VLOOKUP(B22,'財政力指数等'!$N$6:$O$65,2)</f>
        <v>桑折町</v>
      </c>
      <c r="D22" s="211" t="str">
        <f>VLOOKUP($B22,'類型'!$A$2:$C$61,3)</f>
        <v>Ⅲ－１</v>
      </c>
      <c r="E22" s="190">
        <f>VLOOKUP(B22,'国調就業'!$A$4:$R$63,16)</f>
        <v>13700</v>
      </c>
      <c r="F22" s="166">
        <f>VLOOKUP(B22,'国調就業'!$A$4:$R$63,17)</f>
        <v>13411</v>
      </c>
      <c r="G22" s="170">
        <f>VLOOKUP(B22,'住基人口'!$A$7:$F$68,5)</f>
        <v>13469</v>
      </c>
      <c r="H22" s="171">
        <f>VLOOKUP(B22,'国調就業'!$A$4:$R$63,18)</f>
        <v>42.97</v>
      </c>
      <c r="I22" s="166">
        <f>VLOOKUP(B22,'財政力指数等'!$N$6:$AB$65,8)</f>
        <v>2669804</v>
      </c>
      <c r="J22" s="166">
        <f>VLOOKUP(B22,'財政力指数等'!$N$6:$AB$65,5)</f>
        <v>1364900</v>
      </c>
      <c r="K22" s="174">
        <f>VLOOKUP(B22,'財政力指数等'!$N$6:$AB$65,15)</f>
        <v>3044094</v>
      </c>
      <c r="L22" s="177">
        <f>VLOOKUP(B22,'財政力指数等'!$N$6:$AB$65,9)</f>
        <v>0.49</v>
      </c>
      <c r="M22" s="177">
        <f>VLOOKUP(B22,'財政力指数等'!$N$6:$AB$65,10)</f>
        <v>0.52</v>
      </c>
      <c r="N22" s="177">
        <f>VLOOKUP(B22,'財政力指数等'!$N$6:$AB$65,11)</f>
        <v>0.51</v>
      </c>
      <c r="O22" s="181">
        <f t="shared" si="1"/>
        <v>0.51</v>
      </c>
      <c r="P22" s="182">
        <f>VLOOKUP(B22,'財政力指数等'!$N$6:$AD$65,17)</f>
        <v>6.3</v>
      </c>
      <c r="Q22" s="182">
        <f>VLOOKUP(B22,'経常収支比率'!$A$5:$R$64,18)</f>
        <v>90.6</v>
      </c>
      <c r="R22" s="182">
        <f>VLOOKUP(B22,'経常収支比率'!$A$5:$R$64,17)</f>
        <v>85.7</v>
      </c>
      <c r="S22" s="182">
        <f>VLOOKUP($B22,'公債費比率'!$A$6:$G$65,3)</f>
        <v>10.8</v>
      </c>
      <c r="T22" s="182">
        <f>VLOOKUP($B22,'公債費比率'!$A$6:$G$65,4)</f>
        <v>11.9</v>
      </c>
      <c r="U22" s="182">
        <f>VLOOKUP($B22,'公債費比率'!$A$6:$G$65,5)</f>
        <v>8.5</v>
      </c>
      <c r="V22" s="335">
        <f>VLOOKUP($B22,'公債費比率'!$A$6:$G$65,7)</f>
        <v>13.1</v>
      </c>
      <c r="W22" s="335">
        <f>VLOOKUP($B22,'公債費比率'!$A$6:$G$65,6)</f>
        <v>14.243402728571192</v>
      </c>
      <c r="X22" s="280">
        <f>VLOOKUP(B22,'将来負担比率'!$A:$C,3)</f>
        <v>150.4</v>
      </c>
      <c r="Y22" s="166">
        <f>VLOOKUP(B22,'国調就業'!$A$4:$O$63,15)</f>
        <v>6793</v>
      </c>
      <c r="Z22" s="182">
        <f>VLOOKUP(B22,'国調就業'!$A$4:$J$63,4)</f>
        <v>14.6</v>
      </c>
      <c r="AA22" s="182">
        <f>VLOOKUP(B22,'国調就業'!$A$4:$J$63,6)</f>
        <v>31.2</v>
      </c>
      <c r="AB22" s="186">
        <f>VLOOKUP(B22,'国調就業'!$A$4:$J$63,8)</f>
        <v>54.1</v>
      </c>
      <c r="AC22" s="109"/>
    </row>
    <row r="23" spans="1:29" ht="19.5" customHeight="1">
      <c r="A23" s="306"/>
      <c r="B23" s="82">
        <v>15</v>
      </c>
      <c r="C23" s="117" t="str">
        <f>VLOOKUP(B23,'財政力指数等'!$N$6:$O$65,2)</f>
        <v>国見町</v>
      </c>
      <c r="D23" s="211" t="str">
        <f>VLOOKUP($B23,'類型'!$A$2:$C$61,3)</f>
        <v>Ⅲ－１</v>
      </c>
      <c r="E23" s="167">
        <f>VLOOKUP(B23,'国調就業'!$A$4:$R$63,16)</f>
        <v>11198</v>
      </c>
      <c r="F23" s="167">
        <f>VLOOKUP(B23,'国調就業'!$A$4:$R$63,17)</f>
        <v>10692</v>
      </c>
      <c r="G23" s="170">
        <f>VLOOKUP(B23,'住基人口'!$A$7:$F$68,5)</f>
        <v>10626</v>
      </c>
      <c r="H23" s="172">
        <f>VLOOKUP(B23,'国調就業'!$A$4:$R$63,18)</f>
        <v>37.9</v>
      </c>
      <c r="I23" s="167">
        <f>VLOOKUP(B23,'財政力指数等'!$N$6:$AB$65,8)</f>
        <v>2582052</v>
      </c>
      <c r="J23" s="167">
        <f>VLOOKUP(B23,'財政力指数等'!$N$6:$AB$65,5)</f>
        <v>940512</v>
      </c>
      <c r="K23" s="175">
        <f>VLOOKUP(B23,'財政力指数等'!$N$6:$AB$65,15)</f>
        <v>2836346</v>
      </c>
      <c r="L23" s="178">
        <f>VLOOKUP(B23,'財政力指数等'!$N$6:$AB$65,9)</f>
        <v>0.35</v>
      </c>
      <c r="M23" s="178">
        <f>VLOOKUP(B23,'財政力指数等'!$N$6:$AB$65,10)</f>
        <v>0.36</v>
      </c>
      <c r="N23" s="178">
        <f>VLOOKUP(B23,'財政力指数等'!$N$6:$AB$65,11)</f>
        <v>0.36</v>
      </c>
      <c r="O23" s="178">
        <f t="shared" si="1"/>
        <v>0.36</v>
      </c>
      <c r="P23" s="183">
        <f>VLOOKUP(B23,'財政力指数等'!$N$6:$AD$65,17)</f>
        <v>5.6</v>
      </c>
      <c r="Q23" s="183">
        <f>VLOOKUP(B23,'経常収支比率'!$A$5:$R$64,18)</f>
        <v>93.5</v>
      </c>
      <c r="R23" s="183">
        <f>VLOOKUP(B23,'経常収支比率'!$A$5:$R$64,17)</f>
        <v>88.6</v>
      </c>
      <c r="S23" s="183">
        <f>VLOOKUP($B23,'公債費比率'!$A$6:$G$65,3)</f>
        <v>14.5</v>
      </c>
      <c r="T23" s="183">
        <f>VLOOKUP($B23,'公債費比率'!$A$6:$G$65,4)</f>
        <v>15</v>
      </c>
      <c r="U23" s="183">
        <f>VLOOKUP($B23,'公債費比率'!$A$6:$G$65,5)</f>
        <v>9.2</v>
      </c>
      <c r="V23" s="183">
        <f>VLOOKUP($B23,'公債費比率'!$A$6:$G$65,7)</f>
        <v>17.5</v>
      </c>
      <c r="W23" s="183">
        <f>VLOOKUP($B23,'公債費比率'!$A$6:$G$65,6)</f>
        <v>19.509313571523094</v>
      </c>
      <c r="X23" s="284">
        <f>VLOOKUP(B23,'将来負担比率'!$A:$C,3)</f>
        <v>149.1</v>
      </c>
      <c r="Y23" s="167">
        <f>VLOOKUP(B23,'国調就業'!$A$4:$O$63,15)</f>
        <v>5487</v>
      </c>
      <c r="Z23" s="183">
        <f>VLOOKUP(B23,'国調就業'!$A$4:$J$63,4)</f>
        <v>19.3</v>
      </c>
      <c r="AA23" s="183">
        <f>VLOOKUP(B23,'国調就業'!$A$4:$J$63,6)</f>
        <v>28.8</v>
      </c>
      <c r="AB23" s="187">
        <f>VLOOKUP(B23,'国調就業'!$A$4:$J$63,8)</f>
        <v>51.9</v>
      </c>
      <c r="AC23" s="109"/>
    </row>
    <row r="24" spans="1:29" ht="19.5" customHeight="1">
      <c r="A24" s="306"/>
      <c r="B24" s="82">
        <v>16</v>
      </c>
      <c r="C24" s="117" t="str">
        <f>VLOOKUP(B24,'財政力指数等'!$N$6:$O$65,2)</f>
        <v>川俣町</v>
      </c>
      <c r="D24" s="211" t="str">
        <f>VLOOKUP($B24,'類型'!$A$2:$C$61,3)</f>
        <v>Ⅳ－１</v>
      </c>
      <c r="E24" s="167">
        <f>VLOOKUP(B24,'国調就業'!$A$4:$R$63,16)</f>
        <v>17751</v>
      </c>
      <c r="F24" s="167">
        <f>VLOOKUP(B24,'国調就業'!$A$4:$R$63,17)</f>
        <v>17034</v>
      </c>
      <c r="G24" s="170">
        <f>VLOOKUP(B24,'住基人口'!$A$7:$F$68,5)</f>
        <v>16615</v>
      </c>
      <c r="H24" s="172">
        <f>VLOOKUP(B24,'国調就業'!$A$4:$R$63,18)</f>
        <v>127.66</v>
      </c>
      <c r="I24" s="167">
        <f>VLOOKUP(B24,'財政力指数等'!$N$6:$AB$65,8)</f>
        <v>3401740</v>
      </c>
      <c r="J24" s="167">
        <f>VLOOKUP(B24,'財政力指数等'!$N$6:$AB$65,5)</f>
        <v>1323340</v>
      </c>
      <c r="K24" s="175">
        <f>VLOOKUP(B24,'財政力指数等'!$N$6:$AB$65,15)</f>
        <v>3757078</v>
      </c>
      <c r="L24" s="178">
        <f>VLOOKUP(B24,'財政力指数等'!$N$6:$AB$65,9)</f>
        <v>0.37</v>
      </c>
      <c r="M24" s="178">
        <f>VLOOKUP(B24,'財政力指数等'!$N$6:$AB$65,10)</f>
        <v>0.38</v>
      </c>
      <c r="N24" s="178">
        <f>VLOOKUP(B24,'財政力指数等'!$N$6:$AB$65,11)</f>
        <v>0.39</v>
      </c>
      <c r="O24" s="178">
        <f t="shared" si="1"/>
        <v>0.38</v>
      </c>
      <c r="P24" s="183">
        <f>VLOOKUP(B24,'財政力指数等'!$N$6:$AD$65,17)</f>
        <v>2.1</v>
      </c>
      <c r="Q24" s="183">
        <f>VLOOKUP(B24,'経常収支比率'!$A$5:$R$64,18)</f>
        <v>95.2</v>
      </c>
      <c r="R24" s="183">
        <f>VLOOKUP(B24,'経常収支比率'!$A$5:$R$64,17)</f>
        <v>90.3</v>
      </c>
      <c r="S24" s="183">
        <f>VLOOKUP($B24,'公債費比率'!$A$6:$G$65,3)</f>
        <v>11.6</v>
      </c>
      <c r="T24" s="183">
        <f>VLOOKUP($B24,'公債費比率'!$A$6:$G$65,4)</f>
        <v>13.2</v>
      </c>
      <c r="U24" s="183">
        <f>VLOOKUP($B24,'公債費比率'!$A$6:$G$65,5)</f>
        <v>10</v>
      </c>
      <c r="V24" s="183">
        <f>VLOOKUP($B24,'公債費比率'!$A$6:$G$65,7)</f>
        <v>13</v>
      </c>
      <c r="W24" s="183">
        <f>VLOOKUP($B24,'公債費比率'!$A$6:$G$65,6)</f>
        <v>11.86026430736418</v>
      </c>
      <c r="X24" s="281">
        <f>VLOOKUP(B24,'将来負担比率'!$A:$C,3)</f>
        <v>96.4</v>
      </c>
      <c r="Y24" s="167">
        <f>VLOOKUP(B24,'国調就業'!$A$4:$O$63,15)</f>
        <v>8248</v>
      </c>
      <c r="Z24" s="183">
        <f>VLOOKUP(B24,'国調就業'!$A$4:$J$63,4)</f>
        <v>12.3</v>
      </c>
      <c r="AA24" s="183">
        <f>VLOOKUP(B24,'国調就業'!$A$4:$J$63,6)</f>
        <v>42.8</v>
      </c>
      <c r="AB24" s="187">
        <f>VLOOKUP(B24,'国調就業'!$A$4:$J$63,8)</f>
        <v>44.9</v>
      </c>
      <c r="AC24" s="109"/>
    </row>
    <row r="25" spans="1:29" ht="19.5" customHeight="1">
      <c r="A25" s="306"/>
      <c r="B25" s="82">
        <v>17</v>
      </c>
      <c r="C25" s="117" t="str">
        <f>VLOOKUP(B25,'財政力指数等'!$N$6:$O$65,2)</f>
        <v>飯野町</v>
      </c>
      <c r="D25" s="211" t="str">
        <f>VLOOKUP($B25,'類型'!$A$2:$C$61,3)</f>
        <v>Ⅱ－１</v>
      </c>
      <c r="E25" s="167">
        <f>VLOOKUP(B25,'国調就業'!$A$4:$R$63,16)</f>
        <v>6773</v>
      </c>
      <c r="F25" s="167">
        <f>VLOOKUP(B25,'国調就業'!$A$4:$R$63,17)</f>
        <v>6488</v>
      </c>
      <c r="G25" s="170">
        <f>VLOOKUP(B25,'住基人口'!$A$7:$F$68,5)</f>
        <v>6458</v>
      </c>
      <c r="H25" s="172">
        <f>VLOOKUP(B25,'国調就業'!$A$4:$R$63,18)</f>
        <v>21.31</v>
      </c>
      <c r="I25" s="167">
        <f>VLOOKUP(B25,'財政力指数等'!$N$6:$AB$65,8)</f>
        <v>1618245</v>
      </c>
      <c r="J25" s="167">
        <f>VLOOKUP(B25,'財政力指数等'!$N$6:$AB$65,5)</f>
        <v>554647</v>
      </c>
      <c r="K25" s="175">
        <f>VLOOKUP(B25,'財政力指数等'!$N$6:$AB$65,15)</f>
        <v>1766771</v>
      </c>
      <c r="L25" s="178">
        <f>VLOOKUP(B25,'財政力指数等'!$N$6:$AB$65,9)</f>
        <v>0.32</v>
      </c>
      <c r="M25" s="178">
        <f>VLOOKUP(B25,'財政力指数等'!$N$6:$AB$65,10)</f>
        <v>0.32</v>
      </c>
      <c r="N25" s="178">
        <f>VLOOKUP(B25,'財政力指数等'!$N$6:$AB$65,11)</f>
        <v>0.34</v>
      </c>
      <c r="O25" s="178">
        <f t="shared" si="1"/>
        <v>0.33</v>
      </c>
      <c r="P25" s="183">
        <f>VLOOKUP(B25,'財政力指数等'!$N$6:$AD$65,17)</f>
        <v>3.8</v>
      </c>
      <c r="Q25" s="183">
        <f>VLOOKUP(B25,'経常収支比率'!$A$5:$R$64,18)</f>
        <v>94.7</v>
      </c>
      <c r="R25" s="183">
        <f>VLOOKUP(B25,'経常収支比率'!$A$5:$R$64,17)</f>
        <v>88.5</v>
      </c>
      <c r="S25" s="183">
        <f>VLOOKUP($B25,'公債費比率'!$A$6:$G$65,3)</f>
        <v>17.2</v>
      </c>
      <c r="T25" s="183">
        <f>VLOOKUP($B25,'公債費比率'!$A$6:$G$65,4)</f>
        <v>17.7</v>
      </c>
      <c r="U25" s="183">
        <f>VLOOKUP($B25,'公債費比率'!$A$6:$G$65,5)</f>
        <v>10.8</v>
      </c>
      <c r="V25" s="336" t="str">
        <f>VLOOKUP($B25,'公債費比率'!$A$6:$G$65,6)</f>
        <v>-</v>
      </c>
      <c r="W25" s="336" t="str">
        <f>VLOOKUP($B25,'公債費比率'!$A$6:$G$65,7)</f>
        <v>-</v>
      </c>
      <c r="X25" s="269" t="str">
        <f>VLOOKUP($B25,'公債費比率'!$A$6:$G$65,7)</f>
        <v>-</v>
      </c>
      <c r="Y25" s="167">
        <f>VLOOKUP(B25,'国調就業'!$A$4:$O$63,15)</f>
        <v>3181</v>
      </c>
      <c r="Z25" s="183">
        <f>VLOOKUP(B25,'国調就業'!$A$4:$J$63,4)</f>
        <v>8.6</v>
      </c>
      <c r="AA25" s="183">
        <f>VLOOKUP(B25,'国調就業'!$A$4:$J$63,6)</f>
        <v>42</v>
      </c>
      <c r="AB25" s="187">
        <f>VLOOKUP(B25,'国調就業'!$A$4:$J$63,8)</f>
        <v>49.4</v>
      </c>
      <c r="AC25" s="109"/>
    </row>
    <row r="26" spans="1:29" ht="19.5" customHeight="1">
      <c r="A26" s="306"/>
      <c r="B26" s="82">
        <v>18</v>
      </c>
      <c r="C26" s="117" t="str">
        <f>VLOOKUP(B26,'財政力指数等'!$N$6:$O$65,2)</f>
        <v>大玉村</v>
      </c>
      <c r="D26" s="211" t="str">
        <f>VLOOKUP($B26,'類型'!$A$2:$C$61,3)</f>
        <v>Ⅱ－１</v>
      </c>
      <c r="E26" s="167">
        <f>VLOOKUP(B26,'国調就業'!$A$4:$R$63,16)</f>
        <v>8407</v>
      </c>
      <c r="F26" s="167">
        <f>VLOOKUP(B26,'国調就業'!$A$4:$R$63,17)</f>
        <v>8464</v>
      </c>
      <c r="G26" s="170">
        <f>VLOOKUP(B26,'住基人口'!$A$7:$F$68,5)</f>
        <v>8579</v>
      </c>
      <c r="H26" s="172">
        <f>VLOOKUP(B26,'国調就業'!$A$4:$R$63,18)</f>
        <v>79.46</v>
      </c>
      <c r="I26" s="167">
        <f>VLOOKUP(B26,'財政力指数等'!$N$6:$AB$65,8)</f>
        <v>2049453</v>
      </c>
      <c r="J26" s="167">
        <f>VLOOKUP(B26,'財政力指数等'!$N$6:$AB$65,5)</f>
        <v>837417</v>
      </c>
      <c r="K26" s="175">
        <f>VLOOKUP(B26,'財政力指数等'!$N$6:$AB$65,15)</f>
        <v>2269704</v>
      </c>
      <c r="L26" s="178">
        <f>VLOOKUP(B26,'財政力指数等'!$N$6:$AB$65,9)</f>
        <v>0.36</v>
      </c>
      <c r="M26" s="178">
        <f>VLOOKUP(B26,'財政力指数等'!$N$6:$AB$65,10)</f>
        <v>0.38</v>
      </c>
      <c r="N26" s="178">
        <f>VLOOKUP(B26,'財政力指数等'!$N$6:$AB$65,11)</f>
        <v>0.41</v>
      </c>
      <c r="O26" s="178">
        <f t="shared" si="1"/>
        <v>0.38</v>
      </c>
      <c r="P26" s="183">
        <f>VLOOKUP(B26,'財政力指数等'!$N$6:$AD$65,17)</f>
        <v>4.6</v>
      </c>
      <c r="Q26" s="183">
        <f>VLOOKUP(B26,'経常収支比率'!$A$5:$R$64,18)</f>
        <v>85.9</v>
      </c>
      <c r="R26" s="183">
        <f>VLOOKUP(B26,'経常収支比率'!$A$5:$R$64,17)</f>
        <v>80.5</v>
      </c>
      <c r="S26" s="183">
        <f>VLOOKUP($B26,'公債費比率'!$A$6:$G$65,3)</f>
        <v>12.3</v>
      </c>
      <c r="T26" s="183">
        <f>VLOOKUP($B26,'公債費比率'!$A$6:$G$65,4)</f>
        <v>13.9</v>
      </c>
      <c r="U26" s="183">
        <f>VLOOKUP($B26,'公債費比率'!$A$6:$G$65,5)</f>
        <v>9.3</v>
      </c>
      <c r="V26" s="183">
        <f>VLOOKUP($B26,'公債費比率'!$A$6:$G$65,7)</f>
        <v>15.6</v>
      </c>
      <c r="W26" s="183">
        <f>VLOOKUP($B26,'公債費比率'!$A$6:$G$65,6)</f>
        <v>14.671495371212417</v>
      </c>
      <c r="X26" s="281">
        <f>VLOOKUP(B26,'将来負担比率'!$A:$C,3)</f>
        <v>87.8</v>
      </c>
      <c r="Y26" s="167">
        <f>VLOOKUP(B26,'国調就業'!$A$4:$O$63,15)</f>
        <v>4349</v>
      </c>
      <c r="Z26" s="183">
        <f>VLOOKUP(B26,'国調就業'!$A$4:$J$63,4)</f>
        <v>14.2</v>
      </c>
      <c r="AA26" s="183">
        <f>VLOOKUP(B26,'国調就業'!$A$4:$J$63,6)</f>
        <v>36.3</v>
      </c>
      <c r="AB26" s="187">
        <f>VLOOKUP(B26,'国調就業'!$A$4:$J$63,8)</f>
        <v>49.4</v>
      </c>
      <c r="AC26" s="109"/>
    </row>
    <row r="27" spans="1:29" ht="19.5" customHeight="1">
      <c r="A27" s="306"/>
      <c r="B27" s="82">
        <v>19</v>
      </c>
      <c r="C27" s="117" t="str">
        <f>VLOOKUP(B27,'財政力指数等'!$N$6:$O$65,2)</f>
        <v>鏡石町</v>
      </c>
      <c r="D27" s="211" t="str">
        <f>VLOOKUP($B27,'類型'!$A$2:$C$61,3)</f>
        <v>Ⅲ－１</v>
      </c>
      <c r="E27" s="167">
        <f>VLOOKUP(B27,'国調就業'!$A$4:$R$63,16)</f>
        <v>12743</v>
      </c>
      <c r="F27" s="167">
        <f>VLOOKUP(B27,'国調就業'!$A$4:$R$63,17)</f>
        <v>12746</v>
      </c>
      <c r="G27" s="170">
        <f>VLOOKUP(B27,'住基人口'!$A$7:$F$68,5)</f>
        <v>12947</v>
      </c>
      <c r="H27" s="172">
        <f>VLOOKUP(B27,'国調就業'!$A$4:$R$63,18)</f>
        <v>31.25</v>
      </c>
      <c r="I27" s="167">
        <f>VLOOKUP(B27,'財政力指数等'!$N$6:$AB$65,8)</f>
        <v>2449780</v>
      </c>
      <c r="J27" s="167">
        <f>VLOOKUP(B27,'財政力指数等'!$N$6:$AB$65,5)</f>
        <v>1494334</v>
      </c>
      <c r="K27" s="175">
        <f>VLOOKUP(B27,'財政力指数等'!$N$6:$AB$65,15)</f>
        <v>2875323</v>
      </c>
      <c r="L27" s="178">
        <f>VLOOKUP(B27,'財政力指数等'!$N$6:$AB$65,9)</f>
        <v>0.55</v>
      </c>
      <c r="M27" s="178">
        <f>VLOOKUP(B27,'財政力指数等'!$N$6:$AB$65,10)</f>
        <v>0.58</v>
      </c>
      <c r="N27" s="178">
        <f>VLOOKUP(B27,'財政力指数等'!$N$6:$AB$65,11)</f>
        <v>0.61</v>
      </c>
      <c r="O27" s="178">
        <f t="shared" si="1"/>
        <v>0.58</v>
      </c>
      <c r="P27" s="183">
        <f>VLOOKUP(B27,'財政力指数等'!$N$6:$AD$65,17)</f>
        <v>2.1</v>
      </c>
      <c r="Q27" s="183">
        <f>VLOOKUP(B27,'経常収支比率'!$A$5:$R$64,18)</f>
        <v>92.1</v>
      </c>
      <c r="R27" s="183">
        <f>VLOOKUP(B27,'経常収支比率'!$A$5:$R$64,17)</f>
        <v>86.8</v>
      </c>
      <c r="S27" s="183">
        <f>VLOOKUP($B27,'公債費比率'!$A$6:$G$65,3)</f>
        <v>20.7</v>
      </c>
      <c r="T27" s="183">
        <f>VLOOKUP($B27,'公債費比率'!$A$6:$G$65,4)</f>
        <v>22.3</v>
      </c>
      <c r="U27" s="183">
        <f>VLOOKUP($B27,'公債費比率'!$A$6:$G$65,5)</f>
        <v>15.3</v>
      </c>
      <c r="V27" s="183">
        <f>VLOOKUP($B27,'公債費比率'!$A$6:$G$65,7)</f>
        <v>21.8</v>
      </c>
      <c r="W27" s="183">
        <f>VLOOKUP($B27,'公債費比率'!$A$6:$G$65,6)</f>
        <v>22.331907480308175</v>
      </c>
      <c r="X27" s="281">
        <f>VLOOKUP(B27,'将来負担比率'!$A:$C,3)</f>
        <v>187.3</v>
      </c>
      <c r="Y27" s="167">
        <f>VLOOKUP(B27,'国調就業'!$A$4:$O$63,15)</f>
        <v>6493</v>
      </c>
      <c r="Z27" s="183">
        <f>VLOOKUP(B27,'国調就業'!$A$4:$J$63,4)</f>
        <v>12.7</v>
      </c>
      <c r="AA27" s="183">
        <f>VLOOKUP(B27,'国調就業'!$A$4:$J$63,6)</f>
        <v>38</v>
      </c>
      <c r="AB27" s="187">
        <f>VLOOKUP(B27,'国調就業'!$A$4:$J$63,8)</f>
        <v>49.3</v>
      </c>
      <c r="AC27" s="109"/>
    </row>
    <row r="28" spans="1:29" ht="19.5" customHeight="1">
      <c r="A28" s="306"/>
      <c r="B28" s="82">
        <v>20</v>
      </c>
      <c r="C28" s="117" t="str">
        <f>VLOOKUP(B28,'財政力指数等'!$N$6:$O$65,2)</f>
        <v>天栄村</v>
      </c>
      <c r="D28" s="211" t="str">
        <f>VLOOKUP($B28,'類型'!$A$2:$C$61,3)</f>
        <v>Ⅱ－１</v>
      </c>
      <c r="E28" s="167">
        <f>VLOOKUP(B28,'国調就業'!$A$4:$R$63,16)</f>
        <v>6889</v>
      </c>
      <c r="F28" s="167">
        <f>VLOOKUP(B28,'国調就業'!$A$4:$R$63,17)</f>
        <v>6486</v>
      </c>
      <c r="G28" s="170">
        <f>VLOOKUP(B28,'住基人口'!$A$7:$F$68,5)</f>
        <v>6629</v>
      </c>
      <c r="H28" s="172">
        <f>VLOOKUP(B28,'国調就業'!$A$4:$R$63,18)</f>
        <v>225.56</v>
      </c>
      <c r="I28" s="167">
        <f>VLOOKUP(B28,'財政力指数等'!$N$6:$AB$65,8)</f>
        <v>2195224</v>
      </c>
      <c r="J28" s="167">
        <f>VLOOKUP(B28,'財政力指数等'!$N$6:$AB$65,5)</f>
        <v>705690</v>
      </c>
      <c r="K28" s="175">
        <f>VLOOKUP(B28,'財政力指数等'!$N$6:$AB$65,15)</f>
        <v>2373863</v>
      </c>
      <c r="L28" s="178">
        <f>VLOOKUP(B28,'財政力指数等'!$N$6:$AB$65,9)</f>
        <v>0.31</v>
      </c>
      <c r="M28" s="178">
        <f>VLOOKUP(B28,'財政力指数等'!$N$6:$AB$65,10)</f>
        <v>0.31</v>
      </c>
      <c r="N28" s="178">
        <f>VLOOKUP(B28,'財政力指数等'!$N$6:$AB$65,11)</f>
        <v>0.32</v>
      </c>
      <c r="O28" s="178">
        <f t="shared" si="1"/>
        <v>0.31</v>
      </c>
      <c r="P28" s="183">
        <f>VLOOKUP(B28,'財政力指数等'!$N$6:$AD$65,17)</f>
        <v>2.9</v>
      </c>
      <c r="Q28" s="183">
        <f>VLOOKUP(B28,'経常収支比率'!$A$5:$R$64,18)</f>
        <v>86.7</v>
      </c>
      <c r="R28" s="183">
        <f>VLOOKUP(B28,'経常収支比率'!$A$5:$R$64,17)</f>
        <v>81.9</v>
      </c>
      <c r="S28" s="183">
        <f>VLOOKUP($B28,'公債費比率'!$A$6:$G$65,3)</f>
        <v>8</v>
      </c>
      <c r="T28" s="183">
        <f>VLOOKUP($B28,'公債費比率'!$A$6:$G$65,4)</f>
        <v>10.8</v>
      </c>
      <c r="U28" s="183">
        <f>VLOOKUP($B28,'公債費比率'!$A$6:$G$65,5)</f>
        <v>3.2</v>
      </c>
      <c r="V28" s="183">
        <f>VLOOKUP($B28,'公債費比率'!$A$6:$G$65,7)</f>
        <v>13.5</v>
      </c>
      <c r="W28" s="183">
        <f>VLOOKUP($B28,'公債費比率'!$A$6:$G$65,6)</f>
        <v>13.153624095980692</v>
      </c>
      <c r="X28" s="281">
        <f>VLOOKUP(B28,'将来負担比率'!$A:$C,3)</f>
        <v>132</v>
      </c>
      <c r="Y28" s="167">
        <f>VLOOKUP(B28,'国調就業'!$A$4:$O$63,15)</f>
        <v>3217</v>
      </c>
      <c r="Z28" s="183">
        <f>VLOOKUP(B28,'国調就業'!$A$4:$J$63,4)</f>
        <v>13.6</v>
      </c>
      <c r="AA28" s="183">
        <f>VLOOKUP(B28,'国調就業'!$A$4:$J$63,6)</f>
        <v>39</v>
      </c>
      <c r="AB28" s="187">
        <f>VLOOKUP(B28,'国調就業'!$A$4:$J$63,8)</f>
        <v>47.4</v>
      </c>
      <c r="AC28" s="109"/>
    </row>
    <row r="29" spans="1:29" ht="19.5" customHeight="1">
      <c r="A29" s="306"/>
      <c r="B29" s="82">
        <v>21</v>
      </c>
      <c r="C29" s="117" t="str">
        <f>VLOOKUP(B29,'財政力指数等'!$N$6:$O$65,2)</f>
        <v>下郷町</v>
      </c>
      <c r="D29" s="211" t="str">
        <f>VLOOKUP($B29,'類型'!$A$2:$C$61,3)</f>
        <v>Ⅱ－１</v>
      </c>
      <c r="E29" s="167">
        <f>VLOOKUP(B29,'国調就業'!$A$4:$R$63,16)</f>
        <v>7579</v>
      </c>
      <c r="F29" s="167">
        <f>VLOOKUP(B29,'国調就業'!$A$4:$R$63,17)</f>
        <v>7053</v>
      </c>
      <c r="G29" s="170">
        <f>VLOOKUP(B29,'住基人口'!$A$7:$F$68,5)</f>
        <v>7029</v>
      </c>
      <c r="H29" s="172">
        <f>VLOOKUP(B29,'国調就業'!$A$4:$R$63,18)</f>
        <v>317.09</v>
      </c>
      <c r="I29" s="167">
        <f>VLOOKUP(B29,'財政力指数等'!$N$6:$AB$65,8)</f>
        <v>2631907</v>
      </c>
      <c r="J29" s="167">
        <f>VLOOKUP(B29,'財政力指数等'!$N$6:$AB$65,5)</f>
        <v>1219678</v>
      </c>
      <c r="K29" s="175">
        <f>VLOOKUP(B29,'財政力指数等'!$N$6:$AB$65,15)</f>
        <v>2969105</v>
      </c>
      <c r="L29" s="178">
        <f>VLOOKUP(B29,'財政力指数等'!$N$6:$AB$65,9)</f>
        <v>0.45</v>
      </c>
      <c r="M29" s="178">
        <f>VLOOKUP(B29,'財政力指数等'!$N$6:$AB$65,10)</f>
        <v>0.44</v>
      </c>
      <c r="N29" s="178">
        <f>VLOOKUP(B29,'財政力指数等'!$N$6:$AB$65,11)</f>
        <v>0.46</v>
      </c>
      <c r="O29" s="178">
        <f t="shared" si="1"/>
        <v>0.45</v>
      </c>
      <c r="P29" s="183">
        <f>VLOOKUP(B29,'財政力指数等'!$N$6:$AD$65,17)</f>
        <v>6.5</v>
      </c>
      <c r="Q29" s="183">
        <f>VLOOKUP(B29,'経常収支比率'!$A$5:$R$64,18)</f>
        <v>97.4</v>
      </c>
      <c r="R29" s="183">
        <f>VLOOKUP(B29,'経常収支比率'!$A$5:$R$64,17)</f>
        <v>92.5</v>
      </c>
      <c r="S29" s="183">
        <f>VLOOKUP($B29,'公債費比率'!$A$6:$G$65,3)</f>
        <v>12.8</v>
      </c>
      <c r="T29" s="183">
        <f>VLOOKUP($B29,'公債費比率'!$A$6:$G$65,4)</f>
        <v>12.9</v>
      </c>
      <c r="U29" s="183">
        <f>VLOOKUP($B29,'公債費比率'!$A$6:$G$65,5)</f>
        <v>9.6</v>
      </c>
      <c r="V29" s="183">
        <f>VLOOKUP($B29,'公債費比率'!$A$6:$G$65,7)</f>
        <v>12</v>
      </c>
      <c r="W29" s="183">
        <f>VLOOKUP($B29,'公債費比率'!$A$6:$G$65,6)</f>
        <v>12.324113834335755</v>
      </c>
      <c r="X29" s="281">
        <f>VLOOKUP(B29,'将来負担比率'!$A:$C,3)</f>
        <v>62.9</v>
      </c>
      <c r="Y29" s="167">
        <f>VLOOKUP(B29,'国調就業'!$A$4:$O$63,15)</f>
        <v>3576</v>
      </c>
      <c r="Z29" s="183">
        <f>VLOOKUP(B29,'国調就業'!$A$4:$J$63,4)</f>
        <v>17.8</v>
      </c>
      <c r="AA29" s="183">
        <f>VLOOKUP(B29,'国調就業'!$A$4:$J$63,6)</f>
        <v>34.1</v>
      </c>
      <c r="AB29" s="187">
        <f>VLOOKUP(B29,'国調就業'!$A$4:$J$63,8)</f>
        <v>48.1</v>
      </c>
      <c r="AC29" s="109"/>
    </row>
    <row r="30" spans="1:29" ht="19.5" customHeight="1">
      <c r="A30" s="306"/>
      <c r="B30" s="82">
        <v>22</v>
      </c>
      <c r="C30" s="117" t="str">
        <f>VLOOKUP(B30,'財政力指数等'!$N$6:$O$65,2)</f>
        <v>檜枝岐村</v>
      </c>
      <c r="D30" s="211" t="str">
        <f>VLOOKUP($B30,'類型'!$A$2:$C$61,3)</f>
        <v>Ⅰ－２</v>
      </c>
      <c r="E30" s="167">
        <f>VLOOKUP(B30,'国調就業'!$A$4:$R$63,16)</f>
        <v>757</v>
      </c>
      <c r="F30" s="167">
        <f>VLOOKUP(B30,'国調就業'!$A$4:$R$63,17)</f>
        <v>706</v>
      </c>
      <c r="G30" s="170">
        <f>VLOOKUP(B30,'住基人口'!$A$7:$F$68,5)</f>
        <v>622</v>
      </c>
      <c r="H30" s="172">
        <f>VLOOKUP(B30,'国調就業'!$A$4:$R$63,18)</f>
        <v>390.5</v>
      </c>
      <c r="I30" s="167">
        <f>VLOOKUP(B30,'財政力指数等'!$N$6:$AB$65,8)</f>
        <v>832690</v>
      </c>
      <c r="J30" s="167">
        <f>VLOOKUP(B30,'財政力指数等'!$N$6:$AB$65,5)</f>
        <v>424218</v>
      </c>
      <c r="K30" s="175">
        <f>VLOOKUP(B30,'財政力指数等'!$N$6:$AB$65,15)</f>
        <v>967273</v>
      </c>
      <c r="L30" s="178">
        <f>VLOOKUP(B30,'財政力指数等'!$N$6:$AB$65,9)</f>
        <v>0.58</v>
      </c>
      <c r="M30" s="178">
        <f>VLOOKUP(B30,'財政力指数等'!$N$6:$AB$65,10)</f>
        <v>0.56</v>
      </c>
      <c r="N30" s="178">
        <f>VLOOKUP(B30,'財政力指数等'!$N$6:$AB$65,11)</f>
        <v>0.51</v>
      </c>
      <c r="O30" s="178">
        <f t="shared" si="1"/>
        <v>0.55</v>
      </c>
      <c r="P30" s="183">
        <f>VLOOKUP(B30,'財政力指数等'!$N$6:$AD$65,17)</f>
        <v>10</v>
      </c>
      <c r="Q30" s="183">
        <f>VLOOKUP(B30,'経常収支比率'!$A$5:$R$64,18)</f>
        <v>83.1</v>
      </c>
      <c r="R30" s="183">
        <f>VLOOKUP(B30,'経常収支比率'!$A$5:$R$64,17)</f>
        <v>78.1</v>
      </c>
      <c r="S30" s="183">
        <f>VLOOKUP($B30,'公債費比率'!$A$6:$G$65,3)</f>
        <v>15.7</v>
      </c>
      <c r="T30" s="183">
        <f>VLOOKUP($B30,'公債費比率'!$A$6:$G$65,4)</f>
        <v>15.8</v>
      </c>
      <c r="U30" s="183">
        <f>VLOOKUP($B30,'公債費比率'!$A$6:$G$65,5)</f>
        <v>8.6</v>
      </c>
      <c r="V30" s="183">
        <f>VLOOKUP($B30,'公債費比率'!$A$6:$G$65,7)</f>
        <v>7.6</v>
      </c>
      <c r="W30" s="183">
        <f>VLOOKUP($B30,'公債費比率'!$A$6:$G$65,6)</f>
        <v>7.4982732224872715</v>
      </c>
      <c r="X30" s="285" t="str">
        <f>VLOOKUP(B30,'将来負担比率'!$A:$C,3)</f>
        <v>-</v>
      </c>
      <c r="Y30" s="167">
        <f>VLOOKUP(B30,'国調就業'!$A$4:$O$63,15)</f>
        <v>416</v>
      </c>
      <c r="Z30" s="183">
        <f>VLOOKUP(B30,'国調就業'!$A$4:$J$63,4)</f>
        <v>1.7</v>
      </c>
      <c r="AA30" s="183">
        <f>VLOOKUP(B30,'国調就業'!$A$4:$J$63,6)</f>
        <v>5.3</v>
      </c>
      <c r="AB30" s="187">
        <f>VLOOKUP(B30,'国調就業'!$A$4:$J$63,8)</f>
        <v>93</v>
      </c>
      <c r="AC30" s="109"/>
    </row>
    <row r="31" spans="1:29" ht="19.5" customHeight="1">
      <c r="A31" s="306"/>
      <c r="B31" s="82">
        <v>23</v>
      </c>
      <c r="C31" s="117" t="str">
        <f>VLOOKUP(B31,'財政力指数等'!$N$6:$O$65,2)</f>
        <v>只見町</v>
      </c>
      <c r="D31" s="211" t="str">
        <f>VLOOKUP($B31,'類型'!$A$2:$C$61,3)</f>
        <v>Ⅱ－０</v>
      </c>
      <c r="E31" s="167">
        <f>VLOOKUP(B31,'国調就業'!$A$4:$R$63,16)</f>
        <v>5557</v>
      </c>
      <c r="F31" s="167">
        <f>VLOOKUP(B31,'国調就業'!$A$4:$R$63,17)</f>
        <v>5284</v>
      </c>
      <c r="G31" s="170">
        <f>VLOOKUP(B31,'住基人口'!$A$7:$F$68,5)</f>
        <v>5243</v>
      </c>
      <c r="H31" s="172">
        <f>VLOOKUP(B31,'国調就業'!$A$4:$R$63,18)</f>
        <v>747.53</v>
      </c>
      <c r="I31" s="167">
        <f>VLOOKUP(B31,'財政力指数等'!$N$6:$AB$65,8)</f>
        <v>2794893</v>
      </c>
      <c r="J31" s="167">
        <f>VLOOKUP(B31,'財政力指数等'!$N$6:$AB$65,5)</f>
        <v>845846</v>
      </c>
      <c r="K31" s="175">
        <f>VLOOKUP(B31,'財政力指数等'!$N$6:$AB$65,15)</f>
        <v>3032657</v>
      </c>
      <c r="L31" s="178">
        <f>VLOOKUP(B31,'財政力指数等'!$N$6:$AB$65,9)</f>
        <v>0.33</v>
      </c>
      <c r="M31" s="178">
        <f>VLOOKUP(B31,'財政力指数等'!$N$6:$AB$65,10)</f>
        <v>0.31</v>
      </c>
      <c r="N31" s="178">
        <f>VLOOKUP(B31,'財政力指数等'!$N$6:$AB$65,11)</f>
        <v>0.3</v>
      </c>
      <c r="O31" s="178">
        <f t="shared" si="1"/>
        <v>0.31</v>
      </c>
      <c r="P31" s="183">
        <f>VLOOKUP(B31,'財政力指数等'!$N$6:$AD$65,17)</f>
        <v>2.4</v>
      </c>
      <c r="Q31" s="183">
        <f>VLOOKUP(B31,'経常収支比率'!$A$5:$R$64,18)</f>
        <v>84.3</v>
      </c>
      <c r="R31" s="183">
        <f>VLOOKUP(B31,'経常収支比率'!$A$5:$R$64,17)</f>
        <v>79.7</v>
      </c>
      <c r="S31" s="183">
        <f>VLOOKUP($B31,'公債費比率'!$A$6:$G$65,3)</f>
        <v>9</v>
      </c>
      <c r="T31" s="183">
        <f>VLOOKUP($B31,'公債費比率'!$A$6:$G$65,4)</f>
        <v>9.2</v>
      </c>
      <c r="U31" s="183">
        <f>VLOOKUP($B31,'公債費比率'!$A$6:$G$65,5)</f>
        <v>8.2</v>
      </c>
      <c r="V31" s="183">
        <f>VLOOKUP($B31,'公債費比率'!$A$6:$G$65,7)</f>
        <v>12.8</v>
      </c>
      <c r="W31" s="183">
        <f>VLOOKUP($B31,'公債費比率'!$A$6:$G$65,6)</f>
        <v>11.962223781835872</v>
      </c>
      <c r="X31" s="281">
        <f>VLOOKUP(B31,'将来負担比率'!$A:$C,3)</f>
        <v>16.1</v>
      </c>
      <c r="Y31" s="167">
        <f>VLOOKUP(B31,'国調就業'!$A$4:$O$63,15)</f>
        <v>2712</v>
      </c>
      <c r="Z31" s="183">
        <f>VLOOKUP(B31,'国調就業'!$A$4:$J$63,4)</f>
        <v>20.8</v>
      </c>
      <c r="AA31" s="183">
        <f>VLOOKUP(B31,'国調就業'!$A$4:$J$63,6)</f>
        <v>35.1</v>
      </c>
      <c r="AB31" s="187">
        <f>VLOOKUP(B31,'国調就業'!$A$4:$J$63,8)</f>
        <v>44.1</v>
      </c>
      <c r="AC31" s="109"/>
    </row>
    <row r="32" spans="1:29" ht="19.5" customHeight="1">
      <c r="A32" s="306"/>
      <c r="B32" s="82">
        <v>24</v>
      </c>
      <c r="C32" s="117" t="str">
        <f>VLOOKUP(B32,'財政力指数等'!$N$6:$O$65,2)</f>
        <v>南会津町</v>
      </c>
      <c r="D32" s="211" t="str">
        <f>VLOOKUP($B32,'類型'!$A$2:$C$61,3)</f>
        <v>Ⅳ－１</v>
      </c>
      <c r="E32" s="167">
        <f>VLOOKUP(B32,'国調就業'!$A$4:$R$63,16)</f>
        <v>21095</v>
      </c>
      <c r="F32" s="167">
        <f>VLOOKUP(B32,'国調就業'!$A$4:$R$63,17)</f>
        <v>19870</v>
      </c>
      <c r="G32" s="170">
        <f>VLOOKUP(B32,'住基人口'!$A$7:$F$68,5)</f>
        <v>19309</v>
      </c>
      <c r="H32" s="172">
        <f>VLOOKUP(B32,'国調就業'!$A$4:$R$63,18)</f>
        <v>886.52</v>
      </c>
      <c r="I32" s="167">
        <f>VLOOKUP(B32,'財政力指数等'!$N$6:$AB$65,8)</f>
        <v>6706747</v>
      </c>
      <c r="J32" s="167">
        <f>VLOOKUP(B32,'財政力指数等'!$N$6:$AB$65,5)</f>
        <v>1766818</v>
      </c>
      <c r="K32" s="175">
        <f>VLOOKUP(B32,'財政力指数等'!$N$6:$AB$65,15)</f>
        <v>8066000</v>
      </c>
      <c r="L32" s="178">
        <f>VLOOKUP(B32,'財政力指数等'!$N$6:$AB$65,9)</f>
        <v>0.23</v>
      </c>
      <c r="M32" s="178">
        <f>VLOOKUP(B32,'財政力指数等'!$N$6:$AB$65,10)</f>
        <v>0.26</v>
      </c>
      <c r="N32" s="178">
        <f>VLOOKUP(B32,'財政力指数等'!$N$6:$AB$65,11)</f>
        <v>0.26</v>
      </c>
      <c r="O32" s="178">
        <f t="shared" si="1"/>
        <v>0.25</v>
      </c>
      <c r="P32" s="183">
        <f>VLOOKUP(B32,'財政力指数等'!$N$6:$AD$65,17)</f>
        <v>2.8</v>
      </c>
      <c r="Q32" s="183">
        <f>VLOOKUP(B32,'経常収支比率'!$A$5:$R$64,18)</f>
        <v>99.7</v>
      </c>
      <c r="R32" s="183">
        <f>VLOOKUP(B32,'経常収支比率'!$A$5:$R$64,17)</f>
        <v>94.5</v>
      </c>
      <c r="S32" s="183">
        <f>VLOOKUP($B32,'公債費比率'!$A$6:$G$65,3)</f>
        <v>12.9</v>
      </c>
      <c r="T32" s="183">
        <f>VLOOKUP($B32,'公債費比率'!$A$6:$G$65,4)</f>
        <v>13.3</v>
      </c>
      <c r="U32" s="183">
        <f>VLOOKUP($B32,'公債費比率'!$A$6:$G$65,5)</f>
        <v>11</v>
      </c>
      <c r="V32" s="183">
        <f>VLOOKUP($B32,'公債費比率'!$A$6:$G$65,7)</f>
        <v>18.7</v>
      </c>
      <c r="W32" s="183">
        <f>VLOOKUP($B32,'公債費比率'!$A$6:$G$65,6)</f>
        <v>17.708619905648547</v>
      </c>
      <c r="X32" s="281">
        <f>VLOOKUP(B32,'将来負担比率'!$A:$C,3)</f>
        <v>117.6</v>
      </c>
      <c r="Y32" s="167">
        <f>VLOOKUP(B32,'国調就業'!$A$4:$O$63,15)</f>
        <v>10009</v>
      </c>
      <c r="Z32" s="183">
        <f>VLOOKUP(B32,'国調就業'!$A$4:$J$63,4)</f>
        <v>15.8</v>
      </c>
      <c r="AA32" s="183">
        <f>VLOOKUP(B32,'国調就業'!$A$4:$J$63,6)</f>
        <v>31.5</v>
      </c>
      <c r="AB32" s="187">
        <f>VLOOKUP(B32,'国調就業'!$A$4:$J$63,8)</f>
        <v>52.7</v>
      </c>
      <c r="AC32" s="109"/>
    </row>
    <row r="33" spans="1:29" ht="19.5" customHeight="1">
      <c r="A33" s="306"/>
      <c r="B33" s="82">
        <v>25</v>
      </c>
      <c r="C33" s="117" t="str">
        <f>VLOOKUP(B33,'財政力指数等'!$N$6:$O$65,2)</f>
        <v>北塩原村</v>
      </c>
      <c r="D33" s="211" t="str">
        <f>VLOOKUP($B33,'類型'!$A$2:$C$61,3)</f>
        <v>Ⅰ－２</v>
      </c>
      <c r="E33" s="167">
        <f>VLOOKUP(B33,'国調就業'!$A$4:$R$63,16)</f>
        <v>3644</v>
      </c>
      <c r="F33" s="167">
        <f>VLOOKUP(B33,'国調就業'!$A$4:$R$63,17)</f>
        <v>3475</v>
      </c>
      <c r="G33" s="170">
        <f>VLOOKUP(B33,'住基人口'!$A$7:$F$68,5)</f>
        <v>3366</v>
      </c>
      <c r="H33" s="172">
        <f>VLOOKUP(B33,'国調就業'!$A$4:$R$63,18)</f>
        <v>233.94</v>
      </c>
      <c r="I33" s="167">
        <f>VLOOKUP(B33,'財政力指数等'!$N$6:$AB$65,8)</f>
        <v>1768809</v>
      </c>
      <c r="J33" s="167">
        <f>VLOOKUP(B33,'財政力指数等'!$N$6:$AB$65,5)</f>
        <v>483365</v>
      </c>
      <c r="K33" s="175">
        <f>VLOOKUP(B33,'財政力指数等'!$N$6:$AB$65,15)</f>
        <v>1906745</v>
      </c>
      <c r="L33" s="178">
        <f>VLOOKUP(B33,'財政力指数等'!$N$6:$AB$65,9)</f>
        <v>0.26</v>
      </c>
      <c r="M33" s="178">
        <f>VLOOKUP(B33,'財政力指数等'!$N$6:$AB$65,10)</f>
        <v>0.21</v>
      </c>
      <c r="N33" s="178">
        <f>VLOOKUP(B33,'財政力指数等'!$N$6:$AB$65,11)</f>
        <v>0.27</v>
      </c>
      <c r="O33" s="178">
        <f t="shared" si="1"/>
        <v>0.25</v>
      </c>
      <c r="P33" s="183">
        <f>VLOOKUP(B33,'財政力指数等'!$N$6:$AD$65,17)</f>
        <v>4.8</v>
      </c>
      <c r="Q33" s="183">
        <f>VLOOKUP(B33,'経常収支比率'!$A$5:$R$64,18)</f>
        <v>98.3</v>
      </c>
      <c r="R33" s="183">
        <f>VLOOKUP(B33,'経常収支比率'!$A$5:$R$64,17)</f>
        <v>93.2</v>
      </c>
      <c r="S33" s="183">
        <f>VLOOKUP($B33,'公債費比率'!$A$6:$G$65,3)</f>
        <v>17.9</v>
      </c>
      <c r="T33" s="183">
        <f>VLOOKUP($B33,'公債費比率'!$A$6:$G$65,4)</f>
        <v>18.4</v>
      </c>
      <c r="U33" s="183">
        <f>VLOOKUP($B33,'公債費比率'!$A$6:$G$65,5)</f>
        <v>12.5</v>
      </c>
      <c r="V33" s="183">
        <f>VLOOKUP($B33,'公債費比率'!$A$6:$G$65,7)</f>
        <v>17.7</v>
      </c>
      <c r="W33" s="183">
        <f>VLOOKUP($B33,'公債費比率'!$A$6:$G$65,6)</f>
        <v>18.09829377495808</v>
      </c>
      <c r="X33" s="281">
        <f>VLOOKUP(B33,'将来負担比率'!$A:$C,3)</f>
        <v>157.8</v>
      </c>
      <c r="Y33" s="167">
        <f>VLOOKUP(B33,'国調就業'!$A$4:$O$63,15)</f>
        <v>1852</v>
      </c>
      <c r="Z33" s="183">
        <f>VLOOKUP(B33,'国調就業'!$A$4:$J$63,4)</f>
        <v>14.6</v>
      </c>
      <c r="AA33" s="183">
        <f>VLOOKUP(B33,'国調就業'!$A$4:$J$63,6)</f>
        <v>22</v>
      </c>
      <c r="AB33" s="187">
        <f>VLOOKUP(B33,'国調就業'!$A$4:$J$63,8)</f>
        <v>63.4</v>
      </c>
      <c r="AC33" s="109"/>
    </row>
    <row r="34" spans="1:29" ht="19.5" customHeight="1">
      <c r="A34" s="306"/>
      <c r="B34" s="82">
        <v>26</v>
      </c>
      <c r="C34" s="117" t="str">
        <f>VLOOKUP(B34,'財政力指数等'!$N$6:$O$65,2)</f>
        <v>西会津町</v>
      </c>
      <c r="D34" s="211" t="str">
        <f>VLOOKUP($B34,'類型'!$A$2:$C$61,3)</f>
        <v>Ⅱ－０</v>
      </c>
      <c r="E34" s="167">
        <f>VLOOKUP(B34,'国調就業'!$A$4:$R$63,16)</f>
        <v>9075</v>
      </c>
      <c r="F34" s="167">
        <f>VLOOKUP(B34,'国調就業'!$A$4:$R$63,17)</f>
        <v>8237</v>
      </c>
      <c r="G34" s="170">
        <f>VLOOKUP(B34,'住基人口'!$A$7:$F$68,5)</f>
        <v>8199</v>
      </c>
      <c r="H34" s="172">
        <f>VLOOKUP(B34,'国調就業'!$A$4:$R$63,18)</f>
        <v>298.13</v>
      </c>
      <c r="I34" s="167">
        <f>VLOOKUP(B34,'財政力指数等'!$N$6:$AB$65,8)</f>
        <v>3114562</v>
      </c>
      <c r="J34" s="167">
        <f>VLOOKUP(B34,'財政力指数等'!$N$6:$AB$65,5)</f>
        <v>721378</v>
      </c>
      <c r="K34" s="175">
        <f>VLOOKUP(B34,'財政力指数等'!$N$6:$AB$65,15)</f>
        <v>3294436</v>
      </c>
      <c r="L34" s="178">
        <f>VLOOKUP(B34,'財政力指数等'!$N$6:$AB$65,9)</f>
        <v>0.23</v>
      </c>
      <c r="M34" s="178">
        <f>VLOOKUP(B34,'財政力指数等'!$N$6:$AB$65,10)</f>
        <v>0.23</v>
      </c>
      <c r="N34" s="178">
        <f>VLOOKUP(B34,'財政力指数等'!$N$6:$AB$65,11)</f>
        <v>0.23</v>
      </c>
      <c r="O34" s="178">
        <f t="shared" si="1"/>
        <v>0.23</v>
      </c>
      <c r="P34" s="183">
        <f>VLOOKUP(B34,'財政力指数等'!$N$6:$AD$65,17)</f>
        <v>2.3</v>
      </c>
      <c r="Q34" s="183">
        <f>VLOOKUP(B34,'経常収支比率'!$A$5:$R$64,18)</f>
        <v>98</v>
      </c>
      <c r="R34" s="183">
        <f>VLOOKUP(B34,'経常収支比率'!$A$5:$R$64,17)</f>
        <v>93.3</v>
      </c>
      <c r="S34" s="183">
        <f>VLOOKUP($B34,'公債費比率'!$A$6:$G$65,3)</f>
        <v>11.6</v>
      </c>
      <c r="T34" s="183">
        <f>VLOOKUP($B34,'公債費比率'!$A$6:$G$65,4)</f>
        <v>12.8</v>
      </c>
      <c r="U34" s="183">
        <f>VLOOKUP($B34,'公債費比率'!$A$6:$G$65,5)</f>
        <v>10</v>
      </c>
      <c r="V34" s="183">
        <f>VLOOKUP($B34,'公債費比率'!$A$6:$G$65,7)</f>
        <v>18.2</v>
      </c>
      <c r="W34" s="183">
        <f>VLOOKUP($B34,'公債費比率'!$A$6:$G$65,6)</f>
        <v>17.238665255041933</v>
      </c>
      <c r="X34" s="281">
        <f>VLOOKUP(B34,'将来負担比率'!$A:$C,3)</f>
        <v>202.9</v>
      </c>
      <c r="Y34" s="167">
        <f>VLOOKUP(B34,'国調就業'!$A$4:$O$63,15)</f>
        <v>4030</v>
      </c>
      <c r="Z34" s="183">
        <f>VLOOKUP(B34,'国調就業'!$A$4:$J$63,4)</f>
        <v>22.4</v>
      </c>
      <c r="AA34" s="183">
        <f>VLOOKUP(B34,'国調就業'!$A$4:$J$63,6)</f>
        <v>35.4</v>
      </c>
      <c r="AB34" s="187">
        <f>VLOOKUP(B34,'国調就業'!$A$4:$J$63,8)</f>
        <v>42.2</v>
      </c>
      <c r="AC34" s="109"/>
    </row>
    <row r="35" spans="1:29" ht="19.5" customHeight="1">
      <c r="A35" s="306"/>
      <c r="B35" s="82">
        <v>27</v>
      </c>
      <c r="C35" s="117" t="str">
        <f>VLOOKUP(B35,'財政力指数等'!$N$6:$O$65,2)</f>
        <v>磐梯町</v>
      </c>
      <c r="D35" s="211" t="str">
        <f>VLOOKUP($B35,'類型'!$A$2:$C$61,3)</f>
        <v>Ⅰ－１</v>
      </c>
      <c r="E35" s="167">
        <f>VLOOKUP(B35,'国調就業'!$A$4:$R$63,16)</f>
        <v>4109</v>
      </c>
      <c r="F35" s="167">
        <f>VLOOKUP(B35,'国調就業'!$A$4:$R$63,17)</f>
        <v>3951</v>
      </c>
      <c r="G35" s="170">
        <f>VLOOKUP(B35,'住基人口'!$A$7:$F$68,5)</f>
        <v>3914</v>
      </c>
      <c r="H35" s="172">
        <f>VLOOKUP(B35,'国調就業'!$A$4:$R$63,18)</f>
        <v>59.69</v>
      </c>
      <c r="I35" s="167">
        <f>VLOOKUP(B35,'財政力指数等'!$N$6:$AB$65,8)</f>
        <v>1630170</v>
      </c>
      <c r="J35" s="167">
        <f>VLOOKUP(B35,'財政力指数等'!$N$6:$AB$65,5)</f>
        <v>764644</v>
      </c>
      <c r="K35" s="175">
        <f>VLOOKUP(B35,'財政力指数等'!$N$6:$AB$65,15)</f>
        <v>1858821</v>
      </c>
      <c r="L35" s="178">
        <f>VLOOKUP(B35,'財政力指数等'!$N$6:$AB$65,9)</f>
        <v>0.38</v>
      </c>
      <c r="M35" s="178">
        <f>VLOOKUP(B35,'財政力指数等'!$N$6:$AB$65,10)</f>
        <v>0.38</v>
      </c>
      <c r="N35" s="178">
        <f>VLOOKUP(B35,'財政力指数等'!$N$6:$AB$65,11)</f>
        <v>0.47</v>
      </c>
      <c r="O35" s="178">
        <f t="shared" si="1"/>
        <v>0.41</v>
      </c>
      <c r="P35" s="183">
        <f>VLOOKUP(B35,'財政力指数等'!$N$6:$AD$65,17)</f>
        <v>6.7</v>
      </c>
      <c r="Q35" s="183">
        <f>VLOOKUP(B35,'経常収支比率'!$A$5:$R$64,18)</f>
        <v>84.7</v>
      </c>
      <c r="R35" s="183">
        <f>VLOOKUP(B35,'経常収支比率'!$A$5:$R$64,17)</f>
        <v>80.8</v>
      </c>
      <c r="S35" s="183">
        <f>VLOOKUP($B35,'公債費比率'!$A$6:$G$65,3)</f>
        <v>5.7</v>
      </c>
      <c r="T35" s="183">
        <f>VLOOKUP($B35,'公債費比率'!$A$6:$G$65,4)</f>
        <v>8.1</v>
      </c>
      <c r="U35" s="183">
        <f>VLOOKUP($B35,'公債費比率'!$A$6:$G$65,5)</f>
        <v>4.9</v>
      </c>
      <c r="V35" s="183">
        <f>VLOOKUP($B35,'公債費比率'!$A$6:$G$65,7)</f>
        <v>3.6</v>
      </c>
      <c r="W35" s="183">
        <f>VLOOKUP($B35,'公債費比率'!$A$6:$G$65,6)</f>
        <v>4.159895557856117</v>
      </c>
      <c r="X35" s="281">
        <f>VLOOKUP(B35,'将来負担比率'!$A:$C,3)</f>
        <v>116.1</v>
      </c>
      <c r="Y35" s="167">
        <f>VLOOKUP(B35,'国調就業'!$A$4:$O$63,15)</f>
        <v>1970</v>
      </c>
      <c r="Z35" s="183">
        <f>VLOOKUP(B35,'国調就業'!$A$4:$J$63,4)</f>
        <v>18.2</v>
      </c>
      <c r="AA35" s="183">
        <f>VLOOKUP(B35,'国調就業'!$A$4:$J$63,6)</f>
        <v>28.6</v>
      </c>
      <c r="AB35" s="187">
        <f>VLOOKUP(B35,'国調就業'!$A$4:$J$63,8)</f>
        <v>53.2</v>
      </c>
      <c r="AC35" s="109"/>
    </row>
    <row r="36" spans="1:29" ht="19.5" customHeight="1">
      <c r="A36" s="306"/>
      <c r="B36" s="82">
        <v>28</v>
      </c>
      <c r="C36" s="117" t="str">
        <f>VLOOKUP(B36,'財政力指数等'!$N$6:$O$65,2)</f>
        <v>猪苗代町</v>
      </c>
      <c r="D36" s="211" t="str">
        <f>VLOOKUP($B36,'類型'!$A$2:$C$61,3)</f>
        <v>Ⅳ－２</v>
      </c>
      <c r="E36" s="167">
        <f>VLOOKUP(B36,'国調就業'!$A$4:$R$63,16)</f>
        <v>18178</v>
      </c>
      <c r="F36" s="167">
        <f>VLOOKUP(B36,'国調就業'!$A$4:$R$63,17)</f>
        <v>17009</v>
      </c>
      <c r="G36" s="170">
        <f>VLOOKUP(B36,'住基人口'!$A$7:$F$68,5)</f>
        <v>16720</v>
      </c>
      <c r="H36" s="172">
        <f>VLOOKUP(B36,'国調就業'!$A$4:$R$63,18)</f>
        <v>395</v>
      </c>
      <c r="I36" s="167">
        <f>VLOOKUP(B36,'財政力指数等'!$N$6:$AB$65,8)</f>
        <v>4273182</v>
      </c>
      <c r="J36" s="167">
        <f>VLOOKUP(B36,'財政力指数等'!$N$6:$AB$65,5)</f>
        <v>1876624</v>
      </c>
      <c r="K36" s="175">
        <f>VLOOKUP(B36,'財政力指数等'!$N$6:$AB$65,15)</f>
        <v>4813041</v>
      </c>
      <c r="L36" s="178">
        <f>VLOOKUP(B36,'財政力指数等'!$N$6:$AB$65,9)</f>
        <v>0.45</v>
      </c>
      <c r="M36" s="178">
        <f>VLOOKUP(B36,'財政力指数等'!$N$6:$AB$65,10)</f>
        <v>0.43</v>
      </c>
      <c r="N36" s="178">
        <f>VLOOKUP(B36,'財政力指数等'!$N$6:$AB$65,11)</f>
        <v>0.44</v>
      </c>
      <c r="O36" s="178">
        <f t="shared" si="1"/>
        <v>0.44</v>
      </c>
      <c r="P36" s="183">
        <f>VLOOKUP(B36,'財政力指数等'!$N$6:$AD$65,17)</f>
        <v>2.8</v>
      </c>
      <c r="Q36" s="183">
        <f>VLOOKUP(B36,'経常収支比率'!$A$5:$R$64,18)</f>
        <v>95.8</v>
      </c>
      <c r="R36" s="183">
        <f>VLOOKUP(B36,'経常収支比率'!$A$5:$R$64,17)</f>
        <v>91.6</v>
      </c>
      <c r="S36" s="183">
        <f>VLOOKUP($B36,'公債費比率'!$A$6:$G$65,3)</f>
        <v>14.5</v>
      </c>
      <c r="T36" s="183">
        <f>VLOOKUP($B36,'公債費比率'!$A$6:$G$65,4)</f>
        <v>17.1</v>
      </c>
      <c r="U36" s="183">
        <f>VLOOKUP($B36,'公債費比率'!$A$6:$G$65,5)</f>
        <v>11</v>
      </c>
      <c r="V36" s="183">
        <f>VLOOKUP($B36,'公債費比率'!$A$6:$G$65,7)</f>
        <v>18</v>
      </c>
      <c r="W36" s="183">
        <f>VLOOKUP($B36,'公債費比率'!$A$6:$G$65,6)</f>
        <v>18.8224581427957</v>
      </c>
      <c r="X36" s="281">
        <f>VLOOKUP(B36,'将来負担比率'!$A:$C,3)</f>
        <v>142</v>
      </c>
      <c r="Y36" s="167">
        <f>VLOOKUP(B36,'国調就業'!$A$4:$O$63,15)</f>
        <v>8417</v>
      </c>
      <c r="Z36" s="183">
        <f>VLOOKUP(B36,'国調就業'!$A$4:$J$63,4)</f>
        <v>13.4</v>
      </c>
      <c r="AA36" s="183">
        <f>VLOOKUP(B36,'国調就業'!$A$4:$J$63,6)</f>
        <v>20.5</v>
      </c>
      <c r="AB36" s="187">
        <f>VLOOKUP(B36,'国調就業'!$A$4:$J$63,8)</f>
        <v>66.1</v>
      </c>
      <c r="AC36" s="109"/>
    </row>
    <row r="37" spans="1:29" ht="19.5" customHeight="1">
      <c r="A37" s="306"/>
      <c r="B37" s="82">
        <v>29</v>
      </c>
      <c r="C37" s="117" t="str">
        <f>VLOOKUP(B37,'財政力指数等'!$N$6:$O$65,2)</f>
        <v>会津坂下町</v>
      </c>
      <c r="D37" s="211" t="str">
        <f>VLOOKUP($B37,'類型'!$A$2:$C$61,3)</f>
        <v>Ⅳ－１</v>
      </c>
      <c r="E37" s="167">
        <f>VLOOKUP(B37,'国調就業'!$A$4:$R$63,16)</f>
        <v>19426</v>
      </c>
      <c r="F37" s="167">
        <f>VLOOKUP(B37,'国調就業'!$A$4:$R$63,17)</f>
        <v>18274</v>
      </c>
      <c r="G37" s="170">
        <f>VLOOKUP(B37,'住基人口'!$A$7:$F$68,5)</f>
        <v>18239</v>
      </c>
      <c r="H37" s="172">
        <f>VLOOKUP(B37,'国調就業'!$A$4:$R$63,18)</f>
        <v>91.65</v>
      </c>
      <c r="I37" s="167">
        <f>VLOOKUP(B37,'財政力指数等'!$N$6:$AB$65,8)</f>
        <v>3835959</v>
      </c>
      <c r="J37" s="167">
        <f>VLOOKUP(B37,'財政力指数等'!$N$6:$AB$65,5)</f>
        <v>1513458</v>
      </c>
      <c r="K37" s="175">
        <f>VLOOKUP(B37,'財政力指数等'!$N$6:$AB$65,15)</f>
        <v>4254081</v>
      </c>
      <c r="L37" s="178">
        <f>VLOOKUP(B37,'財政力指数等'!$N$6:$AB$65,9)</f>
        <v>0.37</v>
      </c>
      <c r="M37" s="178">
        <f>VLOOKUP(B37,'財政力指数等'!$N$6:$AB$65,10)</f>
        <v>0.38</v>
      </c>
      <c r="N37" s="178">
        <f>VLOOKUP(B37,'財政力指数等'!$N$6:$AB$65,11)</f>
        <v>0.39</v>
      </c>
      <c r="O37" s="178">
        <f t="shared" si="1"/>
        <v>0.38</v>
      </c>
      <c r="P37" s="183">
        <f>VLOOKUP(B37,'財政力指数等'!$N$6:$AD$65,17)</f>
        <v>5.4</v>
      </c>
      <c r="Q37" s="183">
        <f>VLOOKUP(B37,'経常収支比率'!$A$5:$R$64,18)</f>
        <v>99.6</v>
      </c>
      <c r="R37" s="183">
        <f>VLOOKUP(B37,'経常収支比率'!$A$5:$R$64,17)</f>
        <v>94.9</v>
      </c>
      <c r="S37" s="183">
        <f>VLOOKUP($B37,'公債費比率'!$A$6:$G$65,3)</f>
        <v>14.8</v>
      </c>
      <c r="T37" s="183">
        <f>VLOOKUP($B37,'公債費比率'!$A$6:$G$65,4)</f>
        <v>19.3</v>
      </c>
      <c r="U37" s="183">
        <f>VLOOKUP($B37,'公債費比率'!$A$6:$G$65,5)</f>
        <v>11.8</v>
      </c>
      <c r="V37" s="183">
        <f>VLOOKUP($B37,'公債費比率'!$A$6:$G$65,7)</f>
        <v>21.3</v>
      </c>
      <c r="W37" s="183">
        <f>VLOOKUP($B37,'公債費比率'!$A$6:$G$65,6)</f>
        <v>20.492606489313413</v>
      </c>
      <c r="X37" s="281">
        <f>VLOOKUP(B37,'将来負担比率'!$A:$C,3)</f>
        <v>234.7</v>
      </c>
      <c r="Y37" s="167">
        <f>VLOOKUP(B37,'国調就業'!$A$4:$O$63,15)</f>
        <v>9209</v>
      </c>
      <c r="Z37" s="183">
        <f>VLOOKUP(B37,'国調就業'!$A$4:$J$63,4)</f>
        <v>16.7</v>
      </c>
      <c r="AA37" s="183">
        <f>VLOOKUP(B37,'国調就業'!$A$4:$J$63,6)</f>
        <v>28.1</v>
      </c>
      <c r="AB37" s="187">
        <f>VLOOKUP(B37,'国調就業'!$A$4:$J$63,8)</f>
        <v>55.2</v>
      </c>
      <c r="AC37" s="109"/>
    </row>
    <row r="38" spans="1:29" ht="19.5" customHeight="1">
      <c r="A38" s="306"/>
      <c r="B38" s="82">
        <v>30</v>
      </c>
      <c r="C38" s="117" t="str">
        <f>VLOOKUP(B38,'財政力指数等'!$N$6:$O$65,2)</f>
        <v>湯川村</v>
      </c>
      <c r="D38" s="211" t="str">
        <f>VLOOKUP($B38,'類型'!$A$2:$C$61,3)</f>
        <v>Ⅰ－０</v>
      </c>
      <c r="E38" s="167">
        <f>VLOOKUP(B38,'国調就業'!$A$4:$R$63,16)</f>
        <v>3601</v>
      </c>
      <c r="F38" s="167">
        <f>VLOOKUP(B38,'国調就業'!$A$4:$R$63,17)</f>
        <v>3570</v>
      </c>
      <c r="G38" s="170">
        <f>VLOOKUP(B38,'住基人口'!$A$7:$F$68,5)</f>
        <v>3642</v>
      </c>
      <c r="H38" s="172">
        <f>VLOOKUP(B38,'国調就業'!$A$4:$R$63,18)</f>
        <v>16.36</v>
      </c>
      <c r="I38" s="167">
        <f>VLOOKUP(B38,'財政力指数等'!$N$6:$AB$65,8)</f>
        <v>1268036</v>
      </c>
      <c r="J38" s="167">
        <f>VLOOKUP(B38,'財政力指数等'!$N$6:$AB$65,5)</f>
        <v>316647</v>
      </c>
      <c r="K38" s="175">
        <f>VLOOKUP(B38,'財政力指数等'!$N$6:$AB$65,15)</f>
        <v>1349712</v>
      </c>
      <c r="L38" s="178">
        <f>VLOOKUP(B38,'財政力指数等'!$N$6:$AB$65,9)</f>
        <v>0.22</v>
      </c>
      <c r="M38" s="178">
        <f>VLOOKUP(B38,'財政力指数等'!$N$6:$AB$65,10)</f>
        <v>0.27</v>
      </c>
      <c r="N38" s="178">
        <f>VLOOKUP(B38,'財政力指数等'!$N$6:$AB$65,11)</f>
        <v>0.25</v>
      </c>
      <c r="O38" s="178">
        <f t="shared" si="1"/>
        <v>0.25</v>
      </c>
      <c r="P38" s="183">
        <f>VLOOKUP(B38,'財政力指数等'!$N$6:$AD$65,17)</f>
        <v>6.2</v>
      </c>
      <c r="Q38" s="183">
        <f>VLOOKUP(B38,'経常収支比率'!$A$5:$R$64,18)</f>
        <v>99.8</v>
      </c>
      <c r="R38" s="183">
        <f>VLOOKUP(B38,'経常収支比率'!$A$5:$R$64,17)</f>
        <v>94.2</v>
      </c>
      <c r="S38" s="183">
        <f>VLOOKUP($B38,'公債費比率'!$A$6:$G$65,3)</f>
        <v>7</v>
      </c>
      <c r="T38" s="183">
        <f>VLOOKUP($B38,'公債費比率'!$A$6:$G$65,4)</f>
        <v>8.9</v>
      </c>
      <c r="U38" s="183">
        <f>VLOOKUP($B38,'公債費比率'!$A$6:$G$65,5)</f>
        <v>6.1</v>
      </c>
      <c r="V38" s="183">
        <f>VLOOKUP($B38,'公債費比率'!$A$6:$G$65,7)</f>
        <v>11.2</v>
      </c>
      <c r="W38" s="183">
        <f>VLOOKUP($B38,'公債費比率'!$A$6:$G$65,6)</f>
        <v>10.97636995492083</v>
      </c>
      <c r="X38" s="281">
        <f>VLOOKUP(B38,'将来負担比率'!$A:$C,3)</f>
        <v>36.9</v>
      </c>
      <c r="Y38" s="167">
        <f>VLOOKUP(B38,'国調就業'!$A$4:$O$63,15)</f>
        <v>1884</v>
      </c>
      <c r="Z38" s="183">
        <f>VLOOKUP(B38,'国調就業'!$A$4:$J$63,4)</f>
        <v>26.4</v>
      </c>
      <c r="AA38" s="183">
        <f>VLOOKUP(B38,'国調就業'!$A$4:$J$63,6)</f>
        <v>24.4</v>
      </c>
      <c r="AB38" s="187">
        <f>VLOOKUP(B38,'国調就業'!$A$4:$J$63,8)</f>
        <v>49.2</v>
      </c>
      <c r="AC38" s="109"/>
    </row>
    <row r="39" spans="1:29" ht="19.5" customHeight="1">
      <c r="A39" s="306"/>
      <c r="B39" s="82">
        <v>31</v>
      </c>
      <c r="C39" s="117" t="str">
        <f>VLOOKUP(B39,'財政力指数等'!$N$6:$O$65,2)</f>
        <v>柳津町</v>
      </c>
      <c r="D39" s="211" t="str">
        <f>VLOOKUP($B39,'類型'!$A$2:$C$61,3)</f>
        <v>Ⅰ－０</v>
      </c>
      <c r="E39" s="167">
        <f>VLOOKUP(B39,'国調就業'!$A$4:$R$63,16)</f>
        <v>4669</v>
      </c>
      <c r="F39" s="167">
        <f>VLOOKUP(B39,'国調就業'!$A$4:$R$63,17)</f>
        <v>4260</v>
      </c>
      <c r="G39" s="170">
        <f>VLOOKUP(B39,'住基人口'!$A$7:$F$68,5)</f>
        <v>4340</v>
      </c>
      <c r="H39" s="172">
        <f>VLOOKUP(B39,'国調就業'!$A$4:$R$63,18)</f>
        <v>176.07</v>
      </c>
      <c r="I39" s="167">
        <f>VLOOKUP(B39,'財政力指数等'!$N$6:$AB$65,8)</f>
        <v>2128592</v>
      </c>
      <c r="J39" s="167">
        <f>VLOOKUP(B39,'財政力指数等'!$N$6:$AB$65,5)</f>
        <v>449868</v>
      </c>
      <c r="K39" s="175">
        <f>VLOOKUP(B39,'財政力指数等'!$N$6:$AB$65,15)</f>
        <v>2242305</v>
      </c>
      <c r="L39" s="178">
        <f>VLOOKUP(B39,'財政力指数等'!$N$6:$AB$65,9)</f>
        <v>0.22</v>
      </c>
      <c r="M39" s="178">
        <f>VLOOKUP(B39,'財政力指数等'!$N$6:$AB$65,10)</f>
        <v>0.22</v>
      </c>
      <c r="N39" s="178">
        <f>VLOOKUP(B39,'財政力指数等'!$N$6:$AB$65,11)</f>
        <v>0.21</v>
      </c>
      <c r="O39" s="178">
        <f t="shared" si="1"/>
        <v>0.22</v>
      </c>
      <c r="P39" s="183">
        <f>VLOOKUP(B39,'財政力指数等'!$N$6:$AD$65,17)</f>
        <v>9.6</v>
      </c>
      <c r="Q39" s="183">
        <f>VLOOKUP(B39,'経常収支比率'!$A$5:$R$64,18)</f>
        <v>88.7</v>
      </c>
      <c r="R39" s="183">
        <f>VLOOKUP(B39,'経常収支比率'!$A$5:$R$64,17)</f>
        <v>84.4</v>
      </c>
      <c r="S39" s="183">
        <f>VLOOKUP($B39,'公債費比率'!$A$6:$G$65,3)</f>
        <v>12.2</v>
      </c>
      <c r="T39" s="183">
        <f>VLOOKUP($B39,'公債費比率'!$A$6:$G$65,4)</f>
        <v>12.8</v>
      </c>
      <c r="U39" s="183">
        <f>VLOOKUP($B39,'公債費比率'!$A$6:$G$65,5)</f>
        <v>9.1</v>
      </c>
      <c r="V39" s="183">
        <f>VLOOKUP($B39,'公債費比率'!$A$6:$G$65,7)</f>
        <v>13.9</v>
      </c>
      <c r="W39" s="183">
        <f>VLOOKUP($B39,'公債費比率'!$A$6:$G$65,6)</f>
        <v>14.922886220122338</v>
      </c>
      <c r="X39" s="281">
        <f>VLOOKUP(B39,'将来負担比率'!$A:$C,3)</f>
        <v>51.2</v>
      </c>
      <c r="Y39" s="167">
        <f>VLOOKUP(B39,'国調就業'!$A$4:$O$63,15)</f>
        <v>2201</v>
      </c>
      <c r="Z39" s="183">
        <f>VLOOKUP(B39,'国調就業'!$A$4:$J$63,4)</f>
        <v>23.9</v>
      </c>
      <c r="AA39" s="183">
        <f>VLOOKUP(B39,'国調就業'!$A$4:$J$63,6)</f>
        <v>29.9</v>
      </c>
      <c r="AB39" s="187">
        <f>VLOOKUP(B39,'国調就業'!$A$4:$J$63,8)</f>
        <v>46.2</v>
      </c>
      <c r="AC39" s="109"/>
    </row>
    <row r="40" spans="1:29" ht="19.5" customHeight="1">
      <c r="A40" s="306"/>
      <c r="B40" s="82">
        <v>32</v>
      </c>
      <c r="C40" s="117" t="str">
        <f>VLOOKUP(B40,'財政力指数等'!$N$6:$O$65,2)</f>
        <v>三島町</v>
      </c>
      <c r="D40" s="211" t="str">
        <f>VLOOKUP($B40,'類型'!$A$2:$C$61,3)</f>
        <v>Ⅰ－１</v>
      </c>
      <c r="E40" s="167">
        <f>VLOOKUP(B40,'国調就業'!$A$4:$R$63,16)</f>
        <v>2474</v>
      </c>
      <c r="F40" s="167">
        <f>VLOOKUP(B40,'国調就業'!$A$4:$R$63,17)</f>
        <v>2250</v>
      </c>
      <c r="G40" s="170">
        <f>VLOOKUP(B40,'住基人口'!$A$7:$F$68,5)</f>
        <v>2167</v>
      </c>
      <c r="H40" s="172">
        <f>VLOOKUP(B40,'国調就業'!$A$4:$R$63,18)</f>
        <v>90.83</v>
      </c>
      <c r="I40" s="167">
        <f>VLOOKUP(B40,'財政力指数等'!$N$6:$AB$65,8)</f>
        <v>1140020</v>
      </c>
      <c r="J40" s="167">
        <f>VLOOKUP(B40,'財政力指数等'!$N$6:$AB$65,5)</f>
        <v>166999</v>
      </c>
      <c r="K40" s="175">
        <f>VLOOKUP(B40,'財政力指数等'!$N$6:$AB$65,15)</f>
        <v>1183462</v>
      </c>
      <c r="L40" s="178">
        <f>VLOOKUP(B40,'財政力指数等'!$N$6:$AB$65,9)</f>
        <v>0.16</v>
      </c>
      <c r="M40" s="178">
        <f>VLOOKUP(B40,'財政力指数等'!$N$6:$AB$65,10)</f>
        <v>0.16</v>
      </c>
      <c r="N40" s="178">
        <f>VLOOKUP(B40,'財政力指数等'!$N$6:$AB$65,11)</f>
        <v>0.15</v>
      </c>
      <c r="O40" s="178">
        <f t="shared" si="1"/>
        <v>0.16</v>
      </c>
      <c r="P40" s="183">
        <f>VLOOKUP(B40,'財政力指数等'!$N$6:$AD$65,17)</f>
        <v>7.2</v>
      </c>
      <c r="Q40" s="183">
        <f>VLOOKUP(B40,'経常収支比率'!$A$5:$R$64,18)</f>
        <v>103.3</v>
      </c>
      <c r="R40" s="183">
        <f>VLOOKUP(B40,'経常収支比率'!$A$5:$R$64,17)</f>
        <v>97.6</v>
      </c>
      <c r="S40" s="183">
        <f>VLOOKUP($B40,'公債費比率'!$A$6:$G$65,3)</f>
        <v>15.3</v>
      </c>
      <c r="T40" s="183">
        <f>VLOOKUP($B40,'公債費比率'!$A$6:$G$65,4)</f>
        <v>15.3</v>
      </c>
      <c r="U40" s="183">
        <f>VLOOKUP($B40,'公債費比率'!$A$6:$G$65,5)</f>
        <v>14.7</v>
      </c>
      <c r="V40" s="183">
        <f>VLOOKUP($B40,'公債費比率'!$A$6:$G$65,7)</f>
        <v>18.5</v>
      </c>
      <c r="W40" s="183">
        <f>VLOOKUP($B40,'公債費比率'!$A$6:$G$65,6)</f>
        <v>18.867106495146537</v>
      </c>
      <c r="X40" s="281">
        <f>VLOOKUP(B40,'将来負担比率'!$A:$C,3)</f>
        <v>103.8</v>
      </c>
      <c r="Y40" s="167">
        <f>VLOOKUP(B40,'国調就業'!$A$4:$O$63,15)</f>
        <v>997</v>
      </c>
      <c r="Z40" s="183">
        <f>VLOOKUP(B40,'国調就業'!$A$4:$J$63,4)</f>
        <v>14.9</v>
      </c>
      <c r="AA40" s="183">
        <f>VLOOKUP(B40,'国調就業'!$A$4:$J$63,6)</f>
        <v>32</v>
      </c>
      <c r="AB40" s="187">
        <f>VLOOKUP(B40,'国調就業'!$A$4:$J$63,8)</f>
        <v>53.1</v>
      </c>
      <c r="AC40" s="109"/>
    </row>
    <row r="41" spans="1:29" ht="19.5" customHeight="1">
      <c r="A41" s="306"/>
      <c r="B41" s="82">
        <v>33</v>
      </c>
      <c r="C41" s="117" t="str">
        <f>VLOOKUP(B41,'財政力指数等'!$N$6:$O$65,2)</f>
        <v>金山町</v>
      </c>
      <c r="D41" s="211" t="str">
        <f>VLOOKUP($B41,'類型'!$A$2:$C$61,3)</f>
        <v>Ⅰ－２</v>
      </c>
      <c r="E41" s="167">
        <f>VLOOKUP(B41,'国調就業'!$A$4:$R$63,16)</f>
        <v>3204</v>
      </c>
      <c r="F41" s="167">
        <f>VLOOKUP(B41,'国調就業'!$A$4:$R$63,17)</f>
        <v>2834</v>
      </c>
      <c r="G41" s="170">
        <f>VLOOKUP(B41,'住基人口'!$A$7:$F$68,5)</f>
        <v>2746</v>
      </c>
      <c r="H41" s="172">
        <f>VLOOKUP(B41,'国調就業'!$A$4:$R$63,18)</f>
        <v>293.97</v>
      </c>
      <c r="I41" s="167">
        <f>VLOOKUP(B41,'財政力指数等'!$N$6:$AB$65,8)</f>
        <v>1619989</v>
      </c>
      <c r="J41" s="167">
        <f>VLOOKUP(B41,'財政力指数等'!$N$6:$AB$65,5)</f>
        <v>379356</v>
      </c>
      <c r="K41" s="175">
        <f>VLOOKUP(B41,'財政力指数等'!$N$6:$AB$65,15)</f>
        <v>1725130</v>
      </c>
      <c r="L41" s="178">
        <f>VLOOKUP(B41,'財政力指数等'!$N$6:$AB$65,9)</f>
        <v>0.24</v>
      </c>
      <c r="M41" s="178">
        <f>VLOOKUP(B41,'財政力指数等'!$N$6:$AB$65,10)</f>
        <v>0.24</v>
      </c>
      <c r="N41" s="178">
        <f>VLOOKUP(B41,'財政力指数等'!$N$6:$AB$65,11)</f>
        <v>0.23</v>
      </c>
      <c r="O41" s="178">
        <f t="shared" si="1"/>
        <v>0.24</v>
      </c>
      <c r="P41" s="183">
        <f>VLOOKUP(B41,'財政力指数等'!$N$6:$AD$65,17)</f>
        <v>4</v>
      </c>
      <c r="Q41" s="183">
        <f>VLOOKUP(B41,'経常収支比率'!$A$5:$R$64,18)</f>
        <v>91.4</v>
      </c>
      <c r="R41" s="183">
        <f>VLOOKUP(B41,'経常収支比率'!$A$5:$R$64,17)</f>
        <v>86.5</v>
      </c>
      <c r="S41" s="183">
        <f>VLOOKUP($B41,'公債費比率'!$A$6:$G$65,3)</f>
        <v>13.4</v>
      </c>
      <c r="T41" s="183">
        <f>VLOOKUP($B41,'公債費比率'!$A$6:$G$65,4)</f>
        <v>13.9</v>
      </c>
      <c r="U41" s="183">
        <f>VLOOKUP($B41,'公債費比率'!$A$6:$G$65,5)</f>
        <v>13.5</v>
      </c>
      <c r="V41" s="183">
        <f>VLOOKUP($B41,'公債費比率'!$A$6:$G$65,7)</f>
        <v>20.7</v>
      </c>
      <c r="W41" s="183">
        <f>VLOOKUP($B41,'公債費比率'!$A$6:$G$65,6)</f>
        <v>19.580532314487918</v>
      </c>
      <c r="X41" s="281">
        <f>VLOOKUP(B41,'将来負担比率'!$A:$C,3)</f>
        <v>82.3</v>
      </c>
      <c r="Y41" s="167">
        <f>VLOOKUP(B41,'国調就業'!$A$4:$O$63,15)</f>
        <v>1110</v>
      </c>
      <c r="Z41" s="183">
        <f>VLOOKUP(B41,'国調就業'!$A$4:$J$63,4)</f>
        <v>14.1</v>
      </c>
      <c r="AA41" s="183">
        <f>VLOOKUP(B41,'国調就業'!$A$4:$J$63,6)</f>
        <v>30.5</v>
      </c>
      <c r="AB41" s="187">
        <f>VLOOKUP(B41,'国調就業'!$A$4:$J$63,8)</f>
        <v>55.5</v>
      </c>
      <c r="AC41" s="109"/>
    </row>
    <row r="42" spans="1:29" ht="19.5" customHeight="1">
      <c r="A42" s="306"/>
      <c r="B42" s="82">
        <v>34</v>
      </c>
      <c r="C42" s="118" t="str">
        <f>VLOOKUP(B42,'財政力指数等'!$N$6:$O$65,2)</f>
        <v>昭和村</v>
      </c>
      <c r="D42" s="213" t="str">
        <f>VLOOKUP($B42,'類型'!$A$2:$C$61,3)</f>
        <v>Ⅰ－０</v>
      </c>
      <c r="E42" s="168">
        <f>VLOOKUP(B42,'国調就業'!$A$4:$R$63,16)</f>
        <v>1874</v>
      </c>
      <c r="F42" s="168">
        <f>VLOOKUP(B42,'国調就業'!$A$4:$R$63,17)</f>
        <v>1632</v>
      </c>
      <c r="G42" s="168">
        <f>VLOOKUP(B42,'住基人口'!$A$7:$F$68,5)</f>
        <v>1653</v>
      </c>
      <c r="H42" s="191">
        <f>VLOOKUP(B42,'国調就業'!$A$4:$R$63,18)</f>
        <v>209.34</v>
      </c>
      <c r="I42" s="168">
        <f>VLOOKUP(B42,'財政力指数等'!$N$6:$AB$65,8)</f>
        <v>1201760</v>
      </c>
      <c r="J42" s="168">
        <f>VLOOKUP(B42,'財政力指数等'!$N$6:$AB$65,5)</f>
        <v>128322</v>
      </c>
      <c r="K42" s="176">
        <f>VLOOKUP(B42,'財政力指数等'!$N$6:$AB$65,15)</f>
        <v>1226097</v>
      </c>
      <c r="L42" s="179">
        <f>VLOOKUP(B42,'財政力指数等'!$N$6:$AB$65,9)</f>
        <v>0.11</v>
      </c>
      <c r="M42" s="179">
        <f>VLOOKUP(B42,'財政力指数等'!$N$6:$AB$65,10)</f>
        <v>0.11</v>
      </c>
      <c r="N42" s="179">
        <f>VLOOKUP(B42,'財政力指数等'!$N$6:$AB$65,11)</f>
        <v>0.11</v>
      </c>
      <c r="O42" s="179">
        <f t="shared" si="1"/>
        <v>0.11</v>
      </c>
      <c r="P42" s="184">
        <f>VLOOKUP(B42,'財政力指数等'!$N$6:$AD$65,17)</f>
        <v>1.4</v>
      </c>
      <c r="Q42" s="184">
        <f>VLOOKUP(B42,'経常収支比率'!$A$5:$R$64,18)</f>
        <v>95.2</v>
      </c>
      <c r="R42" s="184">
        <f>VLOOKUP(B42,'経常収支比率'!$A$5:$R$64,17)</f>
        <v>89.9</v>
      </c>
      <c r="S42" s="184">
        <f>VLOOKUP($B42,'公債費比率'!$A$6:$G$65,3)</f>
        <v>8.5</v>
      </c>
      <c r="T42" s="184">
        <f>VLOOKUP($B42,'公債費比率'!$A$6:$G$65,4)</f>
        <v>8.5</v>
      </c>
      <c r="U42" s="184">
        <f>VLOOKUP($B42,'公債費比率'!$A$6:$G$65,5)</f>
        <v>9.9</v>
      </c>
      <c r="V42" s="208">
        <f>VLOOKUP($B42,'公債費比率'!$A$6:$G$65,7)</f>
        <v>15.1</v>
      </c>
      <c r="W42" s="208">
        <f>VLOOKUP($B42,'公債費比率'!$A$6:$G$65,6)</f>
        <v>12.454240442779124</v>
      </c>
      <c r="X42" s="282">
        <f>VLOOKUP(B42,'将来負担比率'!$A:$C,3)</f>
        <v>10.6</v>
      </c>
      <c r="Y42" s="168">
        <f>VLOOKUP(B42,'国調就業'!$A$4:$O$63,15)</f>
        <v>782</v>
      </c>
      <c r="Z42" s="184">
        <f>VLOOKUP(B42,'国調就業'!$A$4:$J$63,4)</f>
        <v>43.2</v>
      </c>
      <c r="AA42" s="184">
        <f>VLOOKUP(B42,'国調就業'!$A$4:$J$63,6)</f>
        <v>18.9</v>
      </c>
      <c r="AB42" s="188">
        <f>VLOOKUP(B42,'国調就業'!$A$4:$J$63,8)</f>
        <v>37.9</v>
      </c>
      <c r="AC42" s="109"/>
    </row>
    <row r="43" spans="1:29" ht="19.5" customHeight="1">
      <c r="A43" s="307" t="s">
        <v>279</v>
      </c>
      <c r="B43" s="82">
        <v>35</v>
      </c>
      <c r="C43" s="119" t="str">
        <f>VLOOKUP(B43,'財政力指数等'!$N$6:$O$65,2)</f>
        <v>会津美里町</v>
      </c>
      <c r="D43" s="210" t="str">
        <f>VLOOKUP($B43,'類型'!$A$2:$C$61,3)</f>
        <v>Ⅴ－１</v>
      </c>
      <c r="E43" s="166">
        <f>VLOOKUP(B43,'国調就業'!$A$4:$R$63,16)</f>
        <v>26172</v>
      </c>
      <c r="F43" s="166">
        <f>VLOOKUP(B43,'国調就業'!$A$4:$R$63,17)</f>
        <v>24741</v>
      </c>
      <c r="G43" s="166">
        <f>VLOOKUP(B43,'住基人口'!$A$7:$F$68,5)</f>
        <v>24568</v>
      </c>
      <c r="H43" s="171">
        <f>VLOOKUP(B43,'国調就業'!$A$4:$R$63,18)</f>
        <v>276.37</v>
      </c>
      <c r="I43" s="166">
        <f>VLOOKUP(B43,'財政力指数等'!$N$6:$AB$65,8)</f>
        <v>5614793</v>
      </c>
      <c r="J43" s="166">
        <f>VLOOKUP(B43,'財政力指数等'!$N$6:$AB$65,5)</f>
        <v>1655126</v>
      </c>
      <c r="K43" s="174">
        <f>VLOOKUP(B43,'財政力指数等'!$N$6:$AB$65,15)</f>
        <v>6796239</v>
      </c>
      <c r="L43" s="177">
        <f>VLOOKUP(B43,'財政力指数等'!$N$6:$AB$65,9)</f>
        <v>0.25</v>
      </c>
      <c r="M43" s="177">
        <f>VLOOKUP(B43,'財政力指数等'!$N$6:$AB$65,10)</f>
        <v>0.29</v>
      </c>
      <c r="N43" s="177">
        <f>VLOOKUP(B43,'財政力指数等'!$N$6:$AB$65,11)</f>
        <v>0.29</v>
      </c>
      <c r="O43" s="177">
        <f t="shared" si="1"/>
        <v>0.28</v>
      </c>
      <c r="P43" s="182">
        <f>VLOOKUP(B43,'財政力指数等'!$N$6:$AD$65,17)</f>
        <v>2.8</v>
      </c>
      <c r="Q43" s="182">
        <f>VLOOKUP(B43,'経常収支比率'!$A$5:$R$64,18)</f>
        <v>93.1</v>
      </c>
      <c r="R43" s="182">
        <f>VLOOKUP(B43,'経常収支比率'!$A$5:$R$64,17)</f>
        <v>87.9</v>
      </c>
      <c r="S43" s="182">
        <f>VLOOKUP($B43,'公債費比率'!$A$6:$G$65,3)</f>
        <v>11.4</v>
      </c>
      <c r="T43" s="182">
        <f>VLOOKUP($B43,'公債費比率'!$A$6:$G$65,4)</f>
        <v>13.4</v>
      </c>
      <c r="U43" s="182">
        <f>VLOOKUP($B43,'公債費比率'!$A$6:$G$65,5)</f>
        <v>10.5</v>
      </c>
      <c r="V43" s="183">
        <f>VLOOKUP($B43,'公債費比率'!$A$6:$G$65,7)</f>
        <v>16.8</v>
      </c>
      <c r="W43" s="183">
        <f>VLOOKUP($B43,'公債費比率'!$A$6:$G$65,6)</f>
        <v>15.51119539378298</v>
      </c>
      <c r="X43" s="284">
        <f>VLOOKUP(B43,'将来負担比率'!$A:$C,3)</f>
        <v>158.6</v>
      </c>
      <c r="Y43" s="166">
        <f>VLOOKUP(B43,'国調就業'!$A$4:$O$63,15)</f>
        <v>12244</v>
      </c>
      <c r="Z43" s="182">
        <f>VLOOKUP(B43,'国調就業'!$A$4:$J$63,4)</f>
        <v>19.2</v>
      </c>
      <c r="AA43" s="182">
        <f>VLOOKUP(B43,'国調就業'!$A$4:$J$63,6)</f>
        <v>28.6</v>
      </c>
      <c r="AB43" s="186">
        <f>VLOOKUP(B43,'国調就業'!$A$4:$J$63,8)</f>
        <v>52.2</v>
      </c>
      <c r="AC43" s="109"/>
    </row>
    <row r="44" spans="1:29" ht="19.5" customHeight="1">
      <c r="A44" s="307"/>
      <c r="B44" s="82">
        <v>36</v>
      </c>
      <c r="C44" s="214" t="str">
        <f>VLOOKUP(B44,'財政力指数等'!$N$6:$O$65,2)</f>
        <v>西郷村</v>
      </c>
      <c r="D44" s="215" t="str">
        <f>VLOOKUP($B44,'類型'!$A$2:$C$61,3)</f>
        <v>Ⅳ－１</v>
      </c>
      <c r="E44" s="170">
        <f>VLOOKUP(B44,'国調就業'!$A$4:$R$63,16)</f>
        <v>18642</v>
      </c>
      <c r="F44" s="170">
        <f>VLOOKUP(B44,'国調就業'!$A$4:$R$63,17)</f>
        <v>19494</v>
      </c>
      <c r="G44" s="170">
        <f>VLOOKUP(B44,'住基人口'!$A$7:$F$68,5)</f>
        <v>19646</v>
      </c>
      <c r="H44" s="216">
        <f>VLOOKUP(B44,'国調就業'!$A$4:$R$63,18)</f>
        <v>192.32</v>
      </c>
      <c r="I44" s="170">
        <f>VLOOKUP(B44,'財政力指数等'!$N$6:$AB$65,8)</f>
        <v>3727734</v>
      </c>
      <c r="J44" s="170">
        <f>VLOOKUP(B44,'財政力指数等'!$N$6:$AB$65,5)</f>
        <v>5020425</v>
      </c>
      <c r="K44" s="217">
        <f>VLOOKUP(B44,'財政力指数等'!$N$6:$AB$65,15)</f>
        <v>6573696</v>
      </c>
      <c r="L44" s="181">
        <f>VLOOKUP(B44,'財政力指数等'!$N$6:$AB$65,9)</f>
        <v>1.05</v>
      </c>
      <c r="M44" s="181">
        <f>VLOOKUP(B44,'財政力指数等'!$N$6:$AB$65,10)</f>
        <v>1.13</v>
      </c>
      <c r="N44" s="181">
        <f>VLOOKUP(B44,'財政力指数等'!$N$6:$AB$65,11)</f>
        <v>1.35</v>
      </c>
      <c r="O44" s="181">
        <f t="shared" si="1"/>
        <v>1.18</v>
      </c>
      <c r="P44" s="218">
        <f>VLOOKUP(B44,'財政力指数等'!$N$6:$AD$65,17)</f>
        <v>3</v>
      </c>
      <c r="Q44" s="218">
        <f>VLOOKUP(B44,'経常収支比率'!$A$5:$R$64,18)</f>
        <v>58</v>
      </c>
      <c r="R44" s="218">
        <f>VLOOKUP(B44,'経常収支比率'!$A$5:$R$64,17)</f>
        <v>56.2</v>
      </c>
      <c r="S44" s="218">
        <f>VLOOKUP($B44,'公債費比率'!$A$6:$G$65,3)</f>
        <v>8</v>
      </c>
      <c r="T44" s="218">
        <f>VLOOKUP($B44,'公債費比率'!$A$6:$G$65,4)</f>
        <v>12</v>
      </c>
      <c r="U44" s="218">
        <f>VLOOKUP($B44,'公債費比率'!$A$6:$G$65,5)</f>
        <v>6.3</v>
      </c>
      <c r="V44" s="183">
        <f>VLOOKUP($B44,'公債費比率'!$A$6:$G$65,7)</f>
        <v>14.4</v>
      </c>
      <c r="W44" s="183">
        <f>VLOOKUP($B44,'公債費比率'!$A$6:$G$65,6)</f>
        <v>14.403675547571462</v>
      </c>
      <c r="X44" s="281">
        <f>VLOOKUP(B44,'将来負担比率'!$A:$C,3)</f>
        <v>53</v>
      </c>
      <c r="Y44" s="170">
        <f>VLOOKUP(B44,'国調就業'!$A$4:$O$63,15)</f>
        <v>9757</v>
      </c>
      <c r="Z44" s="218">
        <f>VLOOKUP(B44,'国調就業'!$A$4:$J$63,4)</f>
        <v>7.7</v>
      </c>
      <c r="AA44" s="218">
        <f>VLOOKUP(B44,'国調就業'!$A$4:$J$63,6)</f>
        <v>40.5</v>
      </c>
      <c r="AB44" s="219">
        <f>VLOOKUP(B44,'国調就業'!$A$4:$J$63,8)</f>
        <v>51.9</v>
      </c>
      <c r="AC44" s="109"/>
    </row>
    <row r="45" spans="1:29" ht="19.5" customHeight="1">
      <c r="A45" s="307"/>
      <c r="B45" s="82">
        <v>37</v>
      </c>
      <c r="C45" s="117" t="str">
        <f>VLOOKUP(B45,'財政力指数等'!$N$6:$O$65,2)</f>
        <v>泉崎村</v>
      </c>
      <c r="D45" s="211" t="str">
        <f>VLOOKUP($B45,'類型'!$A$2:$C$61,3)</f>
        <v>Ⅱ－１</v>
      </c>
      <c r="E45" s="167">
        <f>VLOOKUP(B45,'国調就業'!$A$4:$R$63,16)</f>
        <v>6823</v>
      </c>
      <c r="F45" s="167">
        <f>VLOOKUP(B45,'国調就業'!$A$4:$R$63,17)</f>
        <v>6761</v>
      </c>
      <c r="G45" s="170">
        <f>VLOOKUP(B45,'住基人口'!$A$7:$F$68,5)</f>
        <v>7013</v>
      </c>
      <c r="H45" s="172">
        <f>VLOOKUP(B45,'国調就業'!$A$4:$R$63,18)</f>
        <v>35.4</v>
      </c>
      <c r="I45" s="167">
        <f>VLOOKUP(B45,'財政力指数等'!$N$6:$AB$65,8)</f>
        <v>1818071</v>
      </c>
      <c r="J45" s="167">
        <f>VLOOKUP(B45,'財政力指数等'!$N$6:$AB$65,5)</f>
        <v>1164496</v>
      </c>
      <c r="K45" s="175">
        <f>VLOOKUP(B45,'財政力指数等'!$N$6:$AB$65,15)</f>
        <v>2164284</v>
      </c>
      <c r="L45" s="178">
        <f>VLOOKUP(B45,'財政力指数等'!$N$6:$AB$65,9)</f>
        <v>0.62</v>
      </c>
      <c r="M45" s="178">
        <f>VLOOKUP(B45,'財政力指数等'!$N$6:$AB$65,10)</f>
        <v>0.64</v>
      </c>
      <c r="N45" s="178">
        <f>VLOOKUP(B45,'財政力指数等'!$N$6:$AB$65,11)</f>
        <v>0.64</v>
      </c>
      <c r="O45" s="178">
        <f t="shared" si="1"/>
        <v>0.63</v>
      </c>
      <c r="P45" s="183">
        <f>VLOOKUP(B45,'財政力指数等'!$N$6:$AD$65,17)</f>
        <v>1.7</v>
      </c>
      <c r="Q45" s="183">
        <f>VLOOKUP(B45,'経常収支比率'!$A$5:$R$64,18)</f>
        <v>77.4</v>
      </c>
      <c r="R45" s="183">
        <f>VLOOKUP(B45,'経常収支比率'!$A$5:$R$64,17)</f>
        <v>73.2</v>
      </c>
      <c r="S45" s="183">
        <f>VLOOKUP($B45,'公債費比率'!$A$6:$G$65,3)</f>
        <v>14.9</v>
      </c>
      <c r="T45" s="183">
        <f>VLOOKUP($B45,'公債費比率'!$A$6:$G$65,4)</f>
        <v>24.1</v>
      </c>
      <c r="U45" s="183">
        <f>VLOOKUP($B45,'公債費比率'!$A$6:$G$65,5)</f>
        <v>15.4</v>
      </c>
      <c r="V45" s="183">
        <f>VLOOKUP($B45,'公債費比率'!$A$6:$G$65,7)</f>
        <v>26.3</v>
      </c>
      <c r="W45" s="183">
        <f>VLOOKUP($B45,'公債費比率'!$A$6:$G$65,6)</f>
        <v>22.936574456449232</v>
      </c>
      <c r="X45" s="281">
        <f>VLOOKUP(B45,'将来負担比率'!$A:$C,3)</f>
        <v>151.3</v>
      </c>
      <c r="Y45" s="167">
        <f>VLOOKUP(B45,'国調就業'!$A$4:$O$63,15)</f>
        <v>3497</v>
      </c>
      <c r="Z45" s="183">
        <f>VLOOKUP(B45,'国調就業'!$A$4:$J$63,4)</f>
        <v>15.4</v>
      </c>
      <c r="AA45" s="183">
        <f>VLOOKUP(B45,'国調就業'!$A$4:$J$63,6)</f>
        <v>40.5</v>
      </c>
      <c r="AB45" s="187">
        <f>VLOOKUP(B45,'国調就業'!$A$4:$J$63,8)</f>
        <v>44.1</v>
      </c>
      <c r="AC45" s="109"/>
    </row>
    <row r="46" spans="1:29" ht="19.5" customHeight="1">
      <c r="A46" s="307"/>
      <c r="B46" s="82">
        <v>38</v>
      </c>
      <c r="C46" s="117" t="str">
        <f>VLOOKUP(B46,'財政力指数等'!$N$6:$O$65,2)</f>
        <v>中島村</v>
      </c>
      <c r="D46" s="211" t="str">
        <f>VLOOKUP($B46,'類型'!$A$2:$C$61,3)</f>
        <v>Ⅱ－１</v>
      </c>
      <c r="E46" s="167">
        <f>VLOOKUP(B46,'国調就業'!$A$4:$R$63,16)</f>
        <v>5274</v>
      </c>
      <c r="F46" s="167">
        <f>VLOOKUP(B46,'国調就業'!$A$4:$R$63,17)</f>
        <v>5174</v>
      </c>
      <c r="G46" s="170">
        <f>VLOOKUP(B46,'住基人口'!$A$7:$F$68,5)</f>
        <v>5374</v>
      </c>
      <c r="H46" s="172">
        <f>VLOOKUP(B46,'国調就業'!$A$4:$R$63,18)</f>
        <v>18.91</v>
      </c>
      <c r="I46" s="167">
        <f>VLOOKUP(B46,'財政力指数等'!$N$6:$AB$65,8)</f>
        <v>1410141</v>
      </c>
      <c r="J46" s="167">
        <f>VLOOKUP(B46,'財政力指数等'!$N$6:$AB$65,5)</f>
        <v>455890</v>
      </c>
      <c r="K46" s="175">
        <f>VLOOKUP(B46,'財政力指数等'!$N$6:$AB$65,15)</f>
        <v>1532394</v>
      </c>
      <c r="L46" s="178">
        <f>VLOOKUP(B46,'財政力指数等'!$N$6:$AB$65,9)</f>
        <v>0.34</v>
      </c>
      <c r="M46" s="178">
        <f>VLOOKUP(B46,'財政力指数等'!$N$6:$AB$65,10)</f>
        <v>0.29</v>
      </c>
      <c r="N46" s="178">
        <f>VLOOKUP(B46,'財政力指数等'!$N$6:$AB$65,11)</f>
        <v>0.32</v>
      </c>
      <c r="O46" s="178">
        <f t="shared" si="1"/>
        <v>0.32</v>
      </c>
      <c r="P46" s="183">
        <f>VLOOKUP(B46,'財政力指数等'!$N$6:$AD$65,17)</f>
        <v>7.4</v>
      </c>
      <c r="Q46" s="183">
        <f>VLOOKUP(B46,'経常収支比率'!$A$5:$R$64,18)</f>
        <v>86.1</v>
      </c>
      <c r="R46" s="183">
        <f>VLOOKUP(B46,'経常収支比率'!$A$5:$R$64,17)</f>
        <v>80.6</v>
      </c>
      <c r="S46" s="183">
        <f>VLOOKUP($B46,'公債費比率'!$A$6:$G$65,3)</f>
        <v>12.1</v>
      </c>
      <c r="T46" s="183">
        <f>VLOOKUP($B46,'公債費比率'!$A$6:$G$65,4)</f>
        <v>12.1</v>
      </c>
      <c r="U46" s="183">
        <f>VLOOKUP($B46,'公債費比率'!$A$6:$G$65,5)</f>
        <v>7.5</v>
      </c>
      <c r="V46" s="183">
        <f>VLOOKUP($B46,'公債費比率'!$A$6:$G$65,7)</f>
        <v>14.6</v>
      </c>
      <c r="W46" s="183">
        <f>VLOOKUP($B46,'公債費比率'!$A$6:$G$65,6)</f>
        <v>18.29092696341757</v>
      </c>
      <c r="X46" s="281">
        <f>VLOOKUP(B46,'将来負担比率'!$A:$C,3)</f>
        <v>67.9</v>
      </c>
      <c r="Y46" s="167">
        <f>VLOOKUP(B46,'国調就業'!$A$4:$O$63,15)</f>
        <v>2637</v>
      </c>
      <c r="Z46" s="183">
        <f>VLOOKUP(B46,'国調就業'!$A$4:$J$63,4)</f>
        <v>19.1</v>
      </c>
      <c r="AA46" s="183">
        <f>VLOOKUP(B46,'国調就業'!$A$4:$J$63,6)</f>
        <v>40.4</v>
      </c>
      <c r="AB46" s="187">
        <f>VLOOKUP(B46,'国調就業'!$A$4:$J$63,8)</f>
        <v>40.5</v>
      </c>
      <c r="AC46" s="109"/>
    </row>
    <row r="47" spans="1:29" ht="19.5" customHeight="1">
      <c r="A47" s="307"/>
      <c r="B47" s="82">
        <v>39</v>
      </c>
      <c r="C47" s="117" t="str">
        <f>VLOOKUP(B47,'財政力指数等'!$N$6:$O$65,2)</f>
        <v>矢吹町</v>
      </c>
      <c r="D47" s="211" t="str">
        <f>VLOOKUP($B47,'類型'!$A$2:$C$61,3)</f>
        <v>Ⅳ－１</v>
      </c>
      <c r="E47" s="167">
        <f>VLOOKUP(B47,'国調就業'!$A$4:$R$63,16)</f>
        <v>18892</v>
      </c>
      <c r="F47" s="167">
        <f>VLOOKUP(B47,'国調就業'!$A$4:$R$63,17)</f>
        <v>18735</v>
      </c>
      <c r="G47" s="170">
        <f>VLOOKUP(B47,'住基人口'!$A$7:$F$68,5)</f>
        <v>18276</v>
      </c>
      <c r="H47" s="172">
        <f>VLOOKUP(B47,'国調就業'!$A$4:$R$63,18)</f>
        <v>60.37</v>
      </c>
      <c r="I47" s="167">
        <f>VLOOKUP(B47,'財政力指数等'!$N$6:$AB$65,8)</f>
        <v>3679600</v>
      </c>
      <c r="J47" s="167">
        <f>VLOOKUP(B47,'財政力指数等'!$N$6:$AB$65,5)</f>
        <v>1954541</v>
      </c>
      <c r="K47" s="175">
        <f>VLOOKUP(B47,'財政力指数等'!$N$6:$AB$65,15)</f>
        <v>4201022</v>
      </c>
      <c r="L47" s="178">
        <f>VLOOKUP(B47,'財政力指数等'!$N$6:$AB$65,9)</f>
        <v>0.52</v>
      </c>
      <c r="M47" s="178">
        <f>VLOOKUP(B47,'財政力指数等'!$N$6:$AB$65,10)</f>
        <v>0.52</v>
      </c>
      <c r="N47" s="178">
        <f>VLOOKUP(B47,'財政力指数等'!$N$6:$AB$65,11)</f>
        <v>0.53</v>
      </c>
      <c r="O47" s="178">
        <f t="shared" si="1"/>
        <v>0.52</v>
      </c>
      <c r="P47" s="183">
        <f>VLOOKUP(B47,'財政力指数等'!$N$6:$AD$65,17)</f>
        <v>3.5</v>
      </c>
      <c r="Q47" s="183">
        <f>VLOOKUP(B47,'経常収支比率'!$A$5:$R$64,18)</f>
        <v>94</v>
      </c>
      <c r="R47" s="183">
        <f>VLOOKUP(B47,'経常収支比率'!$A$5:$R$64,17)</f>
        <v>89.6</v>
      </c>
      <c r="S47" s="183">
        <f>VLOOKUP($B47,'公債費比率'!$A$6:$G$65,3)</f>
        <v>19</v>
      </c>
      <c r="T47" s="183">
        <f>VLOOKUP($B47,'公債費比率'!$A$6:$G$65,4)</f>
        <v>20.5</v>
      </c>
      <c r="U47" s="183">
        <f>VLOOKUP($B47,'公債費比率'!$A$6:$G$65,5)</f>
        <v>14.2</v>
      </c>
      <c r="V47" s="183">
        <f>VLOOKUP($B47,'公債費比率'!$A$6:$G$65,7)</f>
        <v>24.9</v>
      </c>
      <c r="W47" s="183">
        <f>VLOOKUP($B47,'公債費比率'!$A$6:$G$65,6)</f>
        <v>23.532252294737386</v>
      </c>
      <c r="X47" s="281">
        <f>VLOOKUP(B47,'将来負担比率'!$A:$C,3)</f>
        <v>185.3</v>
      </c>
      <c r="Y47" s="167">
        <f>VLOOKUP(B47,'国調就業'!$A$4:$O$63,15)</f>
        <v>9183</v>
      </c>
      <c r="Z47" s="183">
        <f>VLOOKUP(B47,'国調就業'!$A$4:$J$63,4)</f>
        <v>13.7</v>
      </c>
      <c r="AA47" s="183">
        <f>VLOOKUP(B47,'国調就業'!$A$4:$J$63,6)</f>
        <v>37.9</v>
      </c>
      <c r="AB47" s="187">
        <f>VLOOKUP(B47,'国調就業'!$A$4:$J$63,8)</f>
        <v>48.4</v>
      </c>
      <c r="AC47" s="109"/>
    </row>
    <row r="48" spans="1:29" ht="19.5" customHeight="1">
      <c r="A48" s="307"/>
      <c r="B48" s="82">
        <v>40</v>
      </c>
      <c r="C48" s="117" t="str">
        <f>VLOOKUP(B48,'財政力指数等'!$N$6:$O$65,2)</f>
        <v>棚倉町</v>
      </c>
      <c r="D48" s="211" t="str">
        <f>VLOOKUP($B48,'類型'!$A$2:$C$61,3)</f>
        <v>Ⅳ－１</v>
      </c>
      <c r="E48" s="167">
        <f>VLOOKUP(B48,'国調就業'!$A$4:$R$63,16)</f>
        <v>16376</v>
      </c>
      <c r="F48" s="167">
        <f>VLOOKUP(B48,'国調就業'!$A$4:$R$63,17)</f>
        <v>15795</v>
      </c>
      <c r="G48" s="170">
        <f>VLOOKUP(B48,'住基人口'!$A$7:$F$68,5)</f>
        <v>15639</v>
      </c>
      <c r="H48" s="172">
        <f>VLOOKUP(B48,'国調就業'!$A$4:$R$63,18)</f>
        <v>159.82</v>
      </c>
      <c r="I48" s="167">
        <f>VLOOKUP(B48,'財政力指数等'!$N$6:$AB$65,8)</f>
        <v>2912960</v>
      </c>
      <c r="J48" s="167">
        <f>VLOOKUP(B48,'財政力指数等'!$N$6:$AB$65,5)</f>
        <v>1828427</v>
      </c>
      <c r="K48" s="175">
        <f>VLOOKUP(B48,'財政力指数等'!$N$6:$AB$65,15)</f>
        <v>3439106</v>
      </c>
      <c r="L48" s="178">
        <f>VLOOKUP(B48,'財政力指数等'!$N$6:$AB$65,9)</f>
        <v>0.56</v>
      </c>
      <c r="M48" s="178">
        <f>VLOOKUP(B48,'財政力指数等'!$N$6:$AB$65,10)</f>
        <v>0.63</v>
      </c>
      <c r="N48" s="178">
        <f>VLOOKUP(B48,'財政力指数等'!$N$6:$AB$65,11)</f>
        <v>0.63</v>
      </c>
      <c r="O48" s="178">
        <f t="shared" si="1"/>
        <v>0.61</v>
      </c>
      <c r="P48" s="183">
        <f>VLOOKUP(B48,'財政力指数等'!$N$6:$AD$65,17)</f>
        <v>2.6</v>
      </c>
      <c r="Q48" s="183">
        <f>VLOOKUP(B48,'経常収支比率'!$A$5:$R$64,18)</f>
        <v>93.8</v>
      </c>
      <c r="R48" s="183">
        <f>VLOOKUP(B48,'経常収支比率'!$A$5:$R$64,17)</f>
        <v>88.7</v>
      </c>
      <c r="S48" s="183">
        <f>VLOOKUP($B48,'公債費比率'!$A$6:$G$65,3)</f>
        <v>11.2</v>
      </c>
      <c r="T48" s="183">
        <f>VLOOKUP($B48,'公債費比率'!$A$6:$G$65,4)</f>
        <v>13.8</v>
      </c>
      <c r="U48" s="183">
        <f>VLOOKUP($B48,'公債費比率'!$A$6:$G$65,5)</f>
        <v>8.9</v>
      </c>
      <c r="V48" s="183">
        <f>VLOOKUP($B48,'公債費比率'!$A$6:$G$65,7)</f>
        <v>16.9</v>
      </c>
      <c r="W48" s="183">
        <f>VLOOKUP($B48,'公債費比率'!$A$6:$G$65,6)</f>
        <v>18.595805346226392</v>
      </c>
      <c r="X48" s="281">
        <f>VLOOKUP(B48,'将来負担比率'!$A:$C,3)</f>
        <v>117.9</v>
      </c>
      <c r="Y48" s="167">
        <f>VLOOKUP(B48,'国調就業'!$A$4:$O$63,15)</f>
        <v>8004</v>
      </c>
      <c r="Z48" s="183">
        <f>VLOOKUP(B48,'国調就業'!$A$4:$J$63,4)</f>
        <v>9.3</v>
      </c>
      <c r="AA48" s="183">
        <f>VLOOKUP(B48,'国調就業'!$A$4:$J$63,6)</f>
        <v>44.1</v>
      </c>
      <c r="AB48" s="187">
        <f>VLOOKUP(B48,'国調就業'!$A$4:$J$63,8)</f>
        <v>46.6</v>
      </c>
      <c r="AC48" s="109"/>
    </row>
    <row r="49" spans="1:29" ht="19.5" customHeight="1">
      <c r="A49" s="307"/>
      <c r="B49" s="82">
        <v>41</v>
      </c>
      <c r="C49" s="117" t="str">
        <f>VLOOKUP(B49,'財政力指数等'!$N$6:$O$65,2)</f>
        <v>矢祭町</v>
      </c>
      <c r="D49" s="211" t="str">
        <f>VLOOKUP($B49,'類型'!$A$2:$C$61,3)</f>
        <v>Ⅱ－１</v>
      </c>
      <c r="E49" s="167">
        <f>VLOOKUP(B49,'国調就業'!$A$4:$R$63,16)</f>
        <v>7062</v>
      </c>
      <c r="F49" s="167">
        <f>VLOOKUP(B49,'国調就業'!$A$4:$R$63,17)</f>
        <v>6740</v>
      </c>
      <c r="G49" s="167">
        <f>VLOOKUP(B49,'住基人口'!$A$7:$F$68,5)</f>
        <v>6769</v>
      </c>
      <c r="H49" s="172">
        <f>VLOOKUP(B49,'国調就業'!$A$4:$R$63,18)</f>
        <v>118.22</v>
      </c>
      <c r="I49" s="167">
        <f>VLOOKUP(B49,'財政力指数等'!$N$6:$AB$65,8)</f>
        <v>1993933</v>
      </c>
      <c r="J49" s="167">
        <f>VLOOKUP(B49,'財政力指数等'!$N$6:$AB$65,5)</f>
        <v>758004</v>
      </c>
      <c r="K49" s="175">
        <f>VLOOKUP(B49,'財政力指数等'!$N$6:$AB$65,15)</f>
        <v>2214857</v>
      </c>
      <c r="L49" s="178">
        <f>VLOOKUP(B49,'財政力指数等'!$N$6:$AB$65,9)</f>
        <v>0.35</v>
      </c>
      <c r="M49" s="178">
        <f>VLOOKUP(B49,'財政力指数等'!$N$6:$AB$65,10)</f>
        <v>0.37</v>
      </c>
      <c r="N49" s="178">
        <f>VLOOKUP(B49,'財政力指数等'!$N$6:$AB$65,11)</f>
        <v>0.38</v>
      </c>
      <c r="O49" s="178">
        <f t="shared" si="1"/>
        <v>0.37</v>
      </c>
      <c r="P49" s="183">
        <f>VLOOKUP(B49,'財政力指数等'!$N$6:$AD$65,17)</f>
        <v>5.4</v>
      </c>
      <c r="Q49" s="183">
        <f>VLOOKUP(B49,'経常収支比率'!$A$5:$R$64,18)</f>
        <v>87.4</v>
      </c>
      <c r="R49" s="183">
        <f>VLOOKUP(B49,'経常収支比率'!$A$5:$R$64,17)</f>
        <v>82.5</v>
      </c>
      <c r="S49" s="183">
        <f>VLOOKUP($B49,'公債費比率'!$A$6:$G$65,3)</f>
        <v>11.4</v>
      </c>
      <c r="T49" s="183">
        <f>VLOOKUP($B49,'公債費比率'!$A$6:$G$65,4)</f>
        <v>12.7</v>
      </c>
      <c r="U49" s="183">
        <f>VLOOKUP($B49,'公債費比率'!$A$6:$G$65,5)</f>
        <v>13.9</v>
      </c>
      <c r="V49" s="183">
        <f>VLOOKUP($B49,'公債費比率'!$A$6:$G$65,7)</f>
        <v>19.8</v>
      </c>
      <c r="W49" s="183">
        <f>VLOOKUP($B49,'公債費比率'!$A$6:$G$65,6)</f>
        <v>16.837252882623655</v>
      </c>
      <c r="X49" s="281">
        <f>VLOOKUP(B49,'将来負担比率'!$A:$C,3)</f>
        <v>44.2</v>
      </c>
      <c r="Y49" s="167">
        <f>VLOOKUP(B49,'国調就業'!$A$4:$O$63,15)</f>
        <v>3385</v>
      </c>
      <c r="Z49" s="183">
        <f>VLOOKUP(B49,'国調就業'!$A$4:$J$63,4)</f>
        <v>19.2</v>
      </c>
      <c r="AA49" s="183">
        <f>VLOOKUP(B49,'国調就業'!$A$4:$J$63,6)</f>
        <v>43.3</v>
      </c>
      <c r="AB49" s="187">
        <f>VLOOKUP(B49,'国調就業'!$A$4:$J$63,8)</f>
        <v>37.5</v>
      </c>
      <c r="AC49" s="109"/>
    </row>
    <row r="50" spans="1:29" ht="19.5" customHeight="1">
      <c r="A50" s="307"/>
      <c r="B50" s="82">
        <v>42</v>
      </c>
      <c r="C50" s="214" t="str">
        <f>VLOOKUP(B50,'財政力指数等'!$N$6:$O$65,2)</f>
        <v>塙町</v>
      </c>
      <c r="D50" s="215" t="str">
        <f>VLOOKUP($B50,'類型'!$A$2:$C$61,3)</f>
        <v>Ⅲ－０</v>
      </c>
      <c r="E50" s="170">
        <f>VLOOKUP(B50,'国調就業'!$A$4:$R$63,16)</f>
        <v>11296</v>
      </c>
      <c r="F50" s="170">
        <f>VLOOKUP(B50,'国調就業'!$A$4:$R$63,17)</f>
        <v>10619</v>
      </c>
      <c r="G50" s="170">
        <f>VLOOKUP(B50,'住基人口'!$A$7:$F$68,5)</f>
        <v>10349</v>
      </c>
      <c r="H50" s="216">
        <f>VLOOKUP(B50,'国調就業'!$A$4:$R$63,18)</f>
        <v>211.6</v>
      </c>
      <c r="I50" s="170">
        <f>VLOOKUP(B50,'財政力指数等'!$N$6:$AB$65,8)</f>
        <v>3084722</v>
      </c>
      <c r="J50" s="170">
        <f>VLOOKUP(B50,'財政力指数等'!$N$6:$AB$65,5)</f>
        <v>882969</v>
      </c>
      <c r="K50" s="217">
        <f>VLOOKUP(B50,'財政力指数等'!$N$6:$AB$65,15)</f>
        <v>3321390</v>
      </c>
      <c r="L50" s="181">
        <f>VLOOKUP(B50,'財政力指数等'!$N$6:$AB$65,9)</f>
        <v>0.28</v>
      </c>
      <c r="M50" s="181">
        <f>VLOOKUP(B50,'財政力指数等'!$N$6:$AB$65,10)</f>
        <v>0.29</v>
      </c>
      <c r="N50" s="181">
        <f>VLOOKUP(B50,'財政力指数等'!$N$6:$AB$65,11)</f>
        <v>0.29</v>
      </c>
      <c r="O50" s="181">
        <f t="shared" si="1"/>
        <v>0.29</v>
      </c>
      <c r="P50" s="218">
        <f>VLOOKUP(B50,'財政力指数等'!$N$6:$AD$65,17)</f>
        <v>4.1</v>
      </c>
      <c r="Q50" s="218">
        <f>VLOOKUP(B50,'経常収支比率'!$A$5:$R$64,18)</f>
        <v>93.9</v>
      </c>
      <c r="R50" s="218">
        <f>VLOOKUP(B50,'経常収支比率'!$A$5:$R$64,17)</f>
        <v>89.2</v>
      </c>
      <c r="S50" s="218">
        <f>VLOOKUP($B50,'公債費比率'!$A$6:$G$65,3)</f>
        <v>12.2</v>
      </c>
      <c r="T50" s="218">
        <f>VLOOKUP($B50,'公債費比率'!$A$6:$G$65,4)</f>
        <v>13</v>
      </c>
      <c r="U50" s="218">
        <f>VLOOKUP($B50,'公債費比率'!$A$6:$G$65,5)</f>
        <v>8.3</v>
      </c>
      <c r="V50" s="183">
        <f>VLOOKUP($B50,'公債費比率'!$A$6:$G$65,7)</f>
        <v>13.8</v>
      </c>
      <c r="W50" s="183">
        <f>VLOOKUP($B50,'公債費比率'!$A$6:$G$65,6)</f>
        <v>13.234608643770743</v>
      </c>
      <c r="X50" s="281">
        <f>VLOOKUP(B50,'将来負担比率'!$A:$C,3)</f>
        <v>86.5</v>
      </c>
      <c r="Y50" s="170">
        <f>VLOOKUP(B50,'国調就業'!$A$4:$O$63,15)</f>
        <v>5504</v>
      </c>
      <c r="Z50" s="218">
        <f>VLOOKUP(B50,'国調就業'!$A$4:$J$63,4)</f>
        <v>20.2</v>
      </c>
      <c r="AA50" s="218">
        <f>VLOOKUP(B50,'国調就業'!$A$4:$J$63,6)</f>
        <v>36.8</v>
      </c>
      <c r="AB50" s="219">
        <f>VLOOKUP(B50,'国調就業'!$A$4:$J$63,8)</f>
        <v>42.9</v>
      </c>
      <c r="AC50" s="109"/>
    </row>
    <row r="51" spans="1:29" ht="19.5" customHeight="1">
      <c r="A51" s="307"/>
      <c r="B51" s="82">
        <v>43</v>
      </c>
      <c r="C51" s="117" t="str">
        <f>VLOOKUP(B51,'財政力指数等'!$N$6:$O$65,2)</f>
        <v>鮫川村</v>
      </c>
      <c r="D51" s="211" t="str">
        <f>VLOOKUP($B51,'類型'!$A$2:$C$61,3)</f>
        <v>Ⅰ－０</v>
      </c>
      <c r="E51" s="167">
        <f>VLOOKUP(B51,'国調就業'!$A$4:$R$63,16)</f>
        <v>4602</v>
      </c>
      <c r="F51" s="167">
        <f>VLOOKUP(B51,'国調就業'!$A$4:$R$63,17)</f>
        <v>4322</v>
      </c>
      <c r="G51" s="170">
        <f>VLOOKUP(B51,'住基人口'!$A$7:$F$68,5)</f>
        <v>4292</v>
      </c>
      <c r="H51" s="172">
        <f>VLOOKUP(B51,'国調就業'!$A$4:$R$63,18)</f>
        <v>131.3</v>
      </c>
      <c r="I51" s="167">
        <f>VLOOKUP(B51,'財政力指数等'!$N$6:$AB$65,8)</f>
        <v>1715297</v>
      </c>
      <c r="J51" s="167">
        <f>VLOOKUP(B51,'財政力指数等'!$N$6:$AB$65,5)</f>
        <v>310741</v>
      </c>
      <c r="K51" s="175">
        <f>VLOOKUP(B51,'財政力指数等'!$N$6:$AB$65,15)</f>
        <v>1790025</v>
      </c>
      <c r="L51" s="178">
        <f>VLOOKUP(B51,'財政力指数等'!$N$6:$AB$65,9)</f>
        <v>0.19</v>
      </c>
      <c r="M51" s="178">
        <f>VLOOKUP(B51,'財政力指数等'!$N$6:$AB$65,10)</f>
        <v>0.19</v>
      </c>
      <c r="N51" s="178">
        <f>VLOOKUP(B51,'財政力指数等'!$N$6:$AB$65,11)</f>
        <v>0.18</v>
      </c>
      <c r="O51" s="178">
        <f t="shared" si="1"/>
        <v>0.19</v>
      </c>
      <c r="P51" s="183">
        <f>VLOOKUP(B51,'財政力指数等'!$N$6:$AD$65,17)</f>
        <v>3.5</v>
      </c>
      <c r="Q51" s="183">
        <f>VLOOKUP(B51,'経常収支比率'!$A$5:$R$64,18)</f>
        <v>91.6</v>
      </c>
      <c r="R51" s="183">
        <f>VLOOKUP(B51,'経常収支比率'!$A$5:$R$64,17)</f>
        <v>86.4</v>
      </c>
      <c r="S51" s="183">
        <f>VLOOKUP($B51,'公債費比率'!$A$6:$G$65,3)</f>
        <v>10.6</v>
      </c>
      <c r="T51" s="183">
        <f>VLOOKUP($B51,'公債費比率'!$A$6:$G$65,4)</f>
        <v>11</v>
      </c>
      <c r="U51" s="183">
        <f>VLOOKUP($B51,'公債費比率'!$A$6:$G$65,5)</f>
        <v>9.2</v>
      </c>
      <c r="V51" s="183">
        <f>VLOOKUP($B51,'公債費比率'!$A$6:$G$65,7)</f>
        <v>13</v>
      </c>
      <c r="W51" s="183">
        <f>VLOOKUP($B51,'公債費比率'!$A$6:$G$65,6)</f>
        <v>11.889908096301975</v>
      </c>
      <c r="X51" s="281">
        <f>VLOOKUP(B51,'将来負担比率'!$A:$C,3)</f>
        <v>52.1</v>
      </c>
      <c r="Y51" s="167">
        <f>VLOOKUP(B51,'国調就業'!$A$4:$O$63,15)</f>
        <v>2219</v>
      </c>
      <c r="Z51" s="183">
        <f>VLOOKUP(B51,'国調就業'!$A$4:$J$63,4)</f>
        <v>24.8</v>
      </c>
      <c r="AA51" s="183">
        <f>VLOOKUP(B51,'国調就業'!$A$4:$J$63,6)</f>
        <v>41</v>
      </c>
      <c r="AB51" s="187">
        <f>VLOOKUP(B51,'国調就業'!$A$4:$J$63,8)</f>
        <v>34.2</v>
      </c>
      <c r="AC51" s="109"/>
    </row>
    <row r="52" spans="1:29" ht="19.5" customHeight="1">
      <c r="A52" s="307"/>
      <c r="B52" s="82">
        <v>44</v>
      </c>
      <c r="C52" s="117" t="str">
        <f>VLOOKUP(B52,'財政力指数等'!$N$6:$O$65,2)</f>
        <v>石川町</v>
      </c>
      <c r="D52" s="211" t="str">
        <f>VLOOKUP($B52,'類型'!$A$2:$C$61,3)</f>
        <v>Ⅳ－１</v>
      </c>
      <c r="E52" s="167">
        <f>VLOOKUP(B52,'国調就業'!$A$4:$R$63,16)</f>
        <v>19914</v>
      </c>
      <c r="F52" s="167">
        <f>VLOOKUP(B52,'国調就業'!$A$4:$R$63,17)</f>
        <v>18921</v>
      </c>
      <c r="G52" s="170">
        <f>VLOOKUP(B52,'住基人口'!$A$7:$F$68,5)</f>
        <v>18203</v>
      </c>
      <c r="H52" s="172">
        <f>VLOOKUP(B52,'国調就業'!$A$4:$R$63,18)</f>
        <v>115.71</v>
      </c>
      <c r="I52" s="167">
        <f>VLOOKUP(B52,'財政力指数等'!$N$6:$AB$65,8)</f>
        <v>3915282</v>
      </c>
      <c r="J52" s="167">
        <f>VLOOKUP(B52,'財政力指数等'!$N$6:$AB$65,5)</f>
        <v>1717234</v>
      </c>
      <c r="K52" s="175">
        <f>VLOOKUP(B52,'財政力指数等'!$N$6:$AB$65,15)</f>
        <v>4385207</v>
      </c>
      <c r="L52" s="178">
        <f>VLOOKUP(B52,'財政力指数等'!$N$6:$AB$65,9)</f>
        <v>0.43</v>
      </c>
      <c r="M52" s="178">
        <f>VLOOKUP(B52,'財政力指数等'!$N$6:$AB$65,10)</f>
        <v>0.45</v>
      </c>
      <c r="N52" s="178">
        <f>VLOOKUP(B52,'財政力指数等'!$N$6:$AB$65,11)</f>
        <v>0.44</v>
      </c>
      <c r="O52" s="178">
        <f t="shared" si="1"/>
        <v>0.44</v>
      </c>
      <c r="P52" s="183">
        <f>VLOOKUP(B52,'財政力指数等'!$N$6:$AD$65,17)</f>
        <v>4.2</v>
      </c>
      <c r="Q52" s="183">
        <f>VLOOKUP(B52,'経常収支比率'!$A$5:$R$64,18)</f>
        <v>93.7</v>
      </c>
      <c r="R52" s="183">
        <f>VLOOKUP(B52,'経常収支比率'!$A$5:$R$64,17)</f>
        <v>89.4</v>
      </c>
      <c r="S52" s="183">
        <f>VLOOKUP($B52,'公債費比率'!$A$6:$G$65,3)</f>
        <v>14.6</v>
      </c>
      <c r="T52" s="183">
        <f>VLOOKUP($B52,'公債費比率'!$A$6:$G$65,4)</f>
        <v>19.3</v>
      </c>
      <c r="U52" s="183">
        <f>VLOOKUP($B52,'公債費比率'!$A$6:$G$65,5)</f>
        <v>12.9</v>
      </c>
      <c r="V52" s="183">
        <f>VLOOKUP($B52,'公債費比率'!$A$6:$G$65,7)</f>
        <v>22.5</v>
      </c>
      <c r="W52" s="183">
        <f>VLOOKUP($B52,'公債費比率'!$A$6:$G$65,6)</f>
        <v>21.199043307558206</v>
      </c>
      <c r="X52" s="281">
        <f>VLOOKUP(B52,'将来負担比率'!$A:$C,3)</f>
        <v>108.7</v>
      </c>
      <c r="Y52" s="167">
        <f>VLOOKUP(B52,'国調就業'!$A$4:$O$63,15)</f>
        <v>9402</v>
      </c>
      <c r="Z52" s="183">
        <f>VLOOKUP(B52,'国調就業'!$A$4:$J$63,4)</f>
        <v>12.1</v>
      </c>
      <c r="AA52" s="183">
        <f>VLOOKUP(B52,'国調就業'!$A$4:$J$63,6)</f>
        <v>38.5</v>
      </c>
      <c r="AB52" s="187">
        <f>VLOOKUP(B52,'国調就業'!$A$4:$J$63,8)</f>
        <v>49.4</v>
      </c>
      <c r="AC52" s="109"/>
    </row>
    <row r="53" spans="1:29" ht="19.5" customHeight="1">
      <c r="A53" s="307"/>
      <c r="B53" s="82">
        <v>45</v>
      </c>
      <c r="C53" s="117" t="str">
        <f>VLOOKUP(B53,'財政力指数等'!$N$6:$O$65,2)</f>
        <v>玉川村</v>
      </c>
      <c r="D53" s="211" t="str">
        <f>VLOOKUP($B53,'類型'!$A$2:$C$61,3)</f>
        <v>Ⅱ－１</v>
      </c>
      <c r="E53" s="167">
        <f>VLOOKUP(B53,'国調就業'!$A$4:$R$63,16)</f>
        <v>7680</v>
      </c>
      <c r="F53" s="167">
        <f>VLOOKUP(B53,'国調就業'!$A$4:$R$63,17)</f>
        <v>7602</v>
      </c>
      <c r="G53" s="170">
        <f>VLOOKUP(B53,'住基人口'!$A$7:$F$68,5)</f>
        <v>7535</v>
      </c>
      <c r="H53" s="172">
        <f>VLOOKUP(B53,'国調就業'!$A$4:$R$63,18)</f>
        <v>46.56</v>
      </c>
      <c r="I53" s="167">
        <f>VLOOKUP(B53,'財政力指数等'!$N$6:$AB$65,8)</f>
        <v>1963445</v>
      </c>
      <c r="J53" s="167">
        <f>VLOOKUP(B53,'財政力指数等'!$N$6:$AB$65,5)</f>
        <v>742319</v>
      </c>
      <c r="K53" s="175">
        <f>VLOOKUP(B53,'財政力指数等'!$N$6:$AB$65,15)</f>
        <v>2163485</v>
      </c>
      <c r="L53" s="178">
        <f>VLOOKUP(B53,'財政力指数等'!$N$6:$AB$65,9)</f>
        <v>0.38</v>
      </c>
      <c r="M53" s="178">
        <f>VLOOKUP(B53,'財政力指数等'!$N$6:$AB$65,10)</f>
        <v>0.39</v>
      </c>
      <c r="N53" s="178">
        <f>VLOOKUP(B53,'財政力指数等'!$N$6:$AB$65,11)</f>
        <v>0.38</v>
      </c>
      <c r="O53" s="178">
        <f t="shared" si="1"/>
        <v>0.38</v>
      </c>
      <c r="P53" s="183">
        <f>VLOOKUP(B53,'財政力指数等'!$N$6:$AD$65,17)</f>
        <v>3.7</v>
      </c>
      <c r="Q53" s="183">
        <f>VLOOKUP(B53,'経常収支比率'!$A$5:$R$64,18)</f>
        <v>94.2</v>
      </c>
      <c r="R53" s="183">
        <f>VLOOKUP(B53,'経常収支比率'!$A$5:$R$64,17)</f>
        <v>88.9</v>
      </c>
      <c r="S53" s="183">
        <f>VLOOKUP($B53,'公債費比率'!$A$6:$G$65,3)</f>
        <v>19.1</v>
      </c>
      <c r="T53" s="183">
        <f>VLOOKUP($B53,'公債費比率'!$A$6:$G$65,4)</f>
        <v>24.4</v>
      </c>
      <c r="U53" s="183">
        <f>VLOOKUP($B53,'公債費比率'!$A$6:$G$65,5)</f>
        <v>13.4</v>
      </c>
      <c r="V53" s="183">
        <f>VLOOKUP($B53,'公債費比率'!$A$6:$G$65,7)</f>
        <v>22.8</v>
      </c>
      <c r="W53" s="183">
        <f>VLOOKUP($B53,'公債費比率'!$A$6:$G$65,6)</f>
        <v>22.386971137078472</v>
      </c>
      <c r="X53" s="281">
        <f>VLOOKUP(B53,'将来負担比率'!$A:$C,3)</f>
        <v>160.9</v>
      </c>
      <c r="Y53" s="167">
        <f>VLOOKUP(B53,'国調就業'!$A$4:$O$63,15)</f>
        <v>4155</v>
      </c>
      <c r="Z53" s="183">
        <f>VLOOKUP(B53,'国調就業'!$A$4:$J$63,4)</f>
        <v>18.5</v>
      </c>
      <c r="AA53" s="183">
        <f>VLOOKUP(B53,'国調就業'!$A$4:$J$63,6)</f>
        <v>42.5</v>
      </c>
      <c r="AB53" s="187">
        <f>VLOOKUP(B53,'国調就業'!$A$4:$J$63,8)</f>
        <v>39</v>
      </c>
      <c r="AC53" s="109"/>
    </row>
    <row r="54" spans="1:29" ht="19.5" customHeight="1">
      <c r="A54" s="307"/>
      <c r="B54" s="82">
        <v>46</v>
      </c>
      <c r="C54" s="117" t="str">
        <f>VLOOKUP(B54,'財政力指数等'!$N$6:$O$65,2)</f>
        <v>平田村</v>
      </c>
      <c r="D54" s="211" t="str">
        <f>VLOOKUP($B54,'類型'!$A$2:$C$61,3)</f>
        <v>Ⅱ－０</v>
      </c>
      <c r="E54" s="167">
        <f>VLOOKUP(B54,'国調就業'!$A$4:$R$63,16)</f>
        <v>7910</v>
      </c>
      <c r="F54" s="167">
        <f>VLOOKUP(B54,'国調就業'!$A$4:$R$63,17)</f>
        <v>7538</v>
      </c>
      <c r="G54" s="170">
        <f>VLOOKUP(B54,'住基人口'!$A$7:$F$68,5)</f>
        <v>7335</v>
      </c>
      <c r="H54" s="172">
        <f>VLOOKUP(B54,'国調就業'!$A$4:$R$63,18)</f>
        <v>93.53</v>
      </c>
      <c r="I54" s="167">
        <f>VLOOKUP(B54,'財政力指数等'!$N$6:$AB$65,8)</f>
        <v>2224142</v>
      </c>
      <c r="J54" s="167">
        <f>VLOOKUP(B54,'財政力指数等'!$N$6:$AB$65,5)</f>
        <v>635471</v>
      </c>
      <c r="K54" s="175">
        <f>VLOOKUP(B54,'財政力指数等'!$N$6:$AB$65,15)</f>
        <v>2389593</v>
      </c>
      <c r="L54" s="178">
        <f>VLOOKUP(B54,'財政力指数等'!$N$6:$AB$65,9)</f>
        <v>0.28</v>
      </c>
      <c r="M54" s="178">
        <f>VLOOKUP(B54,'財政力指数等'!$N$6:$AB$65,10)</f>
        <v>0.29</v>
      </c>
      <c r="N54" s="178">
        <f>VLOOKUP(B54,'財政力指数等'!$N$6:$AB$65,11)</f>
        <v>0.29</v>
      </c>
      <c r="O54" s="178">
        <f t="shared" si="1"/>
        <v>0.29</v>
      </c>
      <c r="P54" s="183">
        <f>VLOOKUP(B54,'財政力指数等'!$N$6:$AD$65,17)</f>
        <v>4.6</v>
      </c>
      <c r="Q54" s="183">
        <f>VLOOKUP(B54,'経常収支比率'!$A$5:$R$64,18)</f>
        <v>92.7</v>
      </c>
      <c r="R54" s="183">
        <f>VLOOKUP(B54,'経常収支比率'!$A$5:$R$64,17)</f>
        <v>87.7</v>
      </c>
      <c r="S54" s="183">
        <f>VLOOKUP($B54,'公債費比率'!$A$6:$G$65,3)</f>
        <v>16.1</v>
      </c>
      <c r="T54" s="183">
        <f>VLOOKUP($B54,'公債費比率'!$A$6:$G$65,4)</f>
        <v>19.1</v>
      </c>
      <c r="U54" s="183">
        <f>VLOOKUP($B54,'公債費比率'!$A$6:$G$65,5)</f>
        <v>11.1</v>
      </c>
      <c r="V54" s="183">
        <f>VLOOKUP($B54,'公債費比率'!$A$6:$G$65,7)</f>
        <v>19.9</v>
      </c>
      <c r="W54" s="183">
        <f>VLOOKUP($B54,'公債費比率'!$A$6:$G$65,6)</f>
        <v>19.24836679994769</v>
      </c>
      <c r="X54" s="281">
        <f>VLOOKUP(B54,'将来負担比率'!$A:$C,3)</f>
        <v>145.9</v>
      </c>
      <c r="Y54" s="167">
        <f>VLOOKUP(B54,'国調就業'!$A$4:$O$63,15)</f>
        <v>4241</v>
      </c>
      <c r="Z54" s="183">
        <f>VLOOKUP(B54,'国調就業'!$A$4:$J$63,4)</f>
        <v>24.2</v>
      </c>
      <c r="AA54" s="183">
        <f>VLOOKUP(B54,'国調就業'!$A$4:$J$63,6)</f>
        <v>43</v>
      </c>
      <c r="AB54" s="187">
        <f>VLOOKUP(B54,'国調就業'!$A$4:$J$63,8)</f>
        <v>32.9</v>
      </c>
      <c r="AC54" s="109"/>
    </row>
    <row r="55" spans="1:29" ht="19.5" customHeight="1">
      <c r="A55" s="307"/>
      <c r="B55" s="82">
        <v>47</v>
      </c>
      <c r="C55" s="117" t="str">
        <f>VLOOKUP(B55,'財政力指数等'!$N$6:$O$65,2)</f>
        <v>浅川町</v>
      </c>
      <c r="D55" s="211" t="str">
        <f>VLOOKUP($B55,'類型'!$A$2:$C$61,3)</f>
        <v>Ⅱ－１</v>
      </c>
      <c r="E55" s="167">
        <f>VLOOKUP(B55,'国調就業'!$A$4:$R$63,16)</f>
        <v>7484</v>
      </c>
      <c r="F55" s="167">
        <f>VLOOKUP(B55,'国調就業'!$A$4:$R$63,17)</f>
        <v>7272</v>
      </c>
      <c r="G55" s="170">
        <f>VLOOKUP(B55,'住基人口'!$A$7:$F$68,5)</f>
        <v>7252</v>
      </c>
      <c r="H55" s="172">
        <f>VLOOKUP(B55,'国調就業'!$A$4:$R$63,18)</f>
        <v>37.43</v>
      </c>
      <c r="I55" s="167">
        <f>VLOOKUP(B55,'財政力指数等'!$N$6:$AB$65,8)</f>
        <v>1795647</v>
      </c>
      <c r="J55" s="167">
        <f>VLOOKUP(B55,'財政力指数等'!$N$6:$AB$65,5)</f>
        <v>679489</v>
      </c>
      <c r="K55" s="175">
        <f>VLOOKUP(B55,'財政力指数等'!$N$6:$AB$65,15)</f>
        <v>1980947</v>
      </c>
      <c r="L55" s="178">
        <f>VLOOKUP(B55,'財政力指数等'!$N$6:$AB$65,9)</f>
        <v>0.38</v>
      </c>
      <c r="M55" s="178">
        <f>VLOOKUP(B55,'財政力指数等'!$N$6:$AB$65,10)</f>
        <v>0.38</v>
      </c>
      <c r="N55" s="178">
        <f>VLOOKUP(B55,'財政力指数等'!$N$6:$AB$65,11)</f>
        <v>0.38</v>
      </c>
      <c r="O55" s="178">
        <f t="shared" si="1"/>
        <v>0.38</v>
      </c>
      <c r="P55" s="183">
        <f>VLOOKUP(B55,'財政力指数等'!$N$6:$AD$65,17)</f>
        <v>6.5</v>
      </c>
      <c r="Q55" s="183">
        <f>VLOOKUP(B55,'経常収支比率'!$A$5:$R$64,18)</f>
        <v>94.2</v>
      </c>
      <c r="R55" s="183">
        <f>VLOOKUP(B55,'経常収支比率'!$A$5:$R$64,17)</f>
        <v>88.4</v>
      </c>
      <c r="S55" s="183">
        <f>VLOOKUP($B55,'公債費比率'!$A$6:$G$65,3)</f>
        <v>18.5</v>
      </c>
      <c r="T55" s="183">
        <f>VLOOKUP($B55,'公債費比率'!$A$6:$G$65,4)</f>
        <v>21.4</v>
      </c>
      <c r="U55" s="183">
        <f>VLOOKUP($B55,'公債費比率'!$A$6:$G$65,5)</f>
        <v>11.1</v>
      </c>
      <c r="V55" s="183">
        <f>VLOOKUP($B55,'公債費比率'!$A$6:$G$65,7)</f>
        <v>16.8</v>
      </c>
      <c r="W55" s="183">
        <f>VLOOKUP($B55,'公債費比率'!$A$6:$G$65,6)</f>
        <v>17.082538084142243</v>
      </c>
      <c r="X55" s="281">
        <f>VLOOKUP(B55,'将来負担比率'!$A:$C,3)</f>
        <v>106.9</v>
      </c>
      <c r="Y55" s="167">
        <f>VLOOKUP(B55,'国調就業'!$A$4:$O$63,15)</f>
        <v>3781</v>
      </c>
      <c r="Z55" s="183">
        <f>VLOOKUP(B55,'国調就業'!$A$4:$J$63,4)</f>
        <v>12.7</v>
      </c>
      <c r="AA55" s="183">
        <f>VLOOKUP(B55,'国調就業'!$A$4:$J$63,6)</f>
        <v>47.5</v>
      </c>
      <c r="AB55" s="187">
        <f>VLOOKUP(B55,'国調就業'!$A$4:$J$63,8)</f>
        <v>39.7</v>
      </c>
      <c r="AC55" s="109"/>
    </row>
    <row r="56" spans="1:29" ht="19.5" customHeight="1">
      <c r="A56" s="307"/>
      <c r="B56" s="82">
        <v>48</v>
      </c>
      <c r="C56" s="117" t="str">
        <f>VLOOKUP(B56,'財政力指数等'!$N$6:$O$65,2)</f>
        <v>古殿町</v>
      </c>
      <c r="D56" s="211" t="str">
        <f>VLOOKUP($B56,'類型'!$A$2:$C$61,3)</f>
        <v>Ⅱ－１</v>
      </c>
      <c r="E56" s="167">
        <f>VLOOKUP(B56,'国調就業'!$A$4:$R$63,16)</f>
        <v>6818</v>
      </c>
      <c r="F56" s="167">
        <f>VLOOKUP(B56,'国調就業'!$A$4:$R$63,17)</f>
        <v>6511</v>
      </c>
      <c r="G56" s="167">
        <f>VLOOKUP(B56,'住基人口'!$A$7:$F$68,5)</f>
        <v>6499</v>
      </c>
      <c r="H56" s="172">
        <f>VLOOKUP(B56,'国調就業'!$A$4:$R$63,18)</f>
        <v>163.47</v>
      </c>
      <c r="I56" s="167">
        <f>VLOOKUP(B56,'財政力指数等'!$N$6:$AB$65,8)</f>
        <v>2201825</v>
      </c>
      <c r="J56" s="167">
        <f>VLOOKUP(B56,'財政力指数等'!$N$6:$AB$65,5)</f>
        <v>547916</v>
      </c>
      <c r="K56" s="175">
        <f>VLOOKUP(B56,'財政力指数等'!$N$6:$AB$65,15)</f>
        <v>2341211</v>
      </c>
      <c r="L56" s="178">
        <f>VLOOKUP(B56,'財政力指数等'!$N$6:$AB$65,9)</f>
        <v>0.25</v>
      </c>
      <c r="M56" s="178">
        <f>VLOOKUP(B56,'財政力指数等'!$N$6:$AB$65,10)</f>
        <v>0.26</v>
      </c>
      <c r="N56" s="178">
        <f>VLOOKUP(B56,'財政力指数等'!$N$6:$AB$65,11)</f>
        <v>0.25</v>
      </c>
      <c r="O56" s="178">
        <f t="shared" si="1"/>
        <v>0.25</v>
      </c>
      <c r="P56" s="183">
        <f>VLOOKUP(B56,'財政力指数等'!$N$6:$AD$65,17)</f>
        <v>1.3</v>
      </c>
      <c r="Q56" s="183">
        <f>VLOOKUP(B56,'経常収支比率'!$A$5:$R$64,18)</f>
        <v>89.2</v>
      </c>
      <c r="R56" s="183">
        <f>VLOOKUP(B56,'経常収支比率'!$A$5:$R$64,17)</f>
        <v>84.3</v>
      </c>
      <c r="S56" s="183">
        <f>VLOOKUP($B56,'公債費比率'!$A$6:$G$65,3)</f>
        <v>7.3</v>
      </c>
      <c r="T56" s="183">
        <f>VLOOKUP($B56,'公債費比率'!$A$6:$G$65,4)</f>
        <v>9.4</v>
      </c>
      <c r="U56" s="183">
        <f>VLOOKUP($B56,'公債費比率'!$A$6:$G$65,5)</f>
        <v>6.8</v>
      </c>
      <c r="V56" s="183">
        <f>VLOOKUP($B56,'公債費比率'!$A$6:$G$65,7)</f>
        <v>9.6</v>
      </c>
      <c r="W56" s="183">
        <f>VLOOKUP($B56,'公債費比率'!$A$6:$G$65,6)</f>
        <v>9.193784880821584</v>
      </c>
      <c r="X56" s="281">
        <f>VLOOKUP(B56,'将来負担比率'!$A:$C,3)</f>
        <v>0.8</v>
      </c>
      <c r="Y56" s="167">
        <f>VLOOKUP(B56,'国調就業'!$A$4:$O$63,15)</f>
        <v>3457</v>
      </c>
      <c r="Z56" s="183">
        <f>VLOOKUP(B56,'国調就業'!$A$4:$J$63,4)</f>
        <v>18.7</v>
      </c>
      <c r="AA56" s="183">
        <f>VLOOKUP(B56,'国調就業'!$A$4:$J$63,6)</f>
        <v>46.3</v>
      </c>
      <c r="AB56" s="187">
        <f>VLOOKUP(B56,'国調就業'!$A$4:$J$63,8)</f>
        <v>35</v>
      </c>
      <c r="AC56" s="109"/>
    </row>
    <row r="57" spans="1:29" ht="19.5" customHeight="1">
      <c r="A57" s="307"/>
      <c r="B57" s="82">
        <v>49</v>
      </c>
      <c r="C57" s="117" t="str">
        <f>VLOOKUP(B57,'財政力指数等'!$N$6:$O$65,2)</f>
        <v>三春町</v>
      </c>
      <c r="D57" s="211" t="str">
        <f>VLOOKUP($B57,'類型'!$A$2:$C$61,3)</f>
        <v>Ⅳ－２</v>
      </c>
      <c r="E57" s="167">
        <f>VLOOKUP(B57,'国調就業'!$A$4:$R$63,16)</f>
        <v>19976</v>
      </c>
      <c r="F57" s="167">
        <f>VLOOKUP(B57,'国調就業'!$A$4:$R$63,17)</f>
        <v>19194</v>
      </c>
      <c r="G57" s="167">
        <f>VLOOKUP(B57,'住基人口'!$A$7:$F$68,5)</f>
        <v>19359</v>
      </c>
      <c r="H57" s="172">
        <f>VLOOKUP(B57,'国調就業'!$A$4:$R$63,18)</f>
        <v>72.76</v>
      </c>
      <c r="I57" s="167">
        <f>VLOOKUP(B57,'財政力指数等'!$N$6:$AB$65,8)</f>
        <v>3664395</v>
      </c>
      <c r="J57" s="167">
        <f>VLOOKUP(B57,'財政力指数等'!$N$6:$AB$65,5)</f>
        <v>1766922</v>
      </c>
      <c r="K57" s="175">
        <f>VLOOKUP(B57,'財政力指数等'!$N$6:$AB$65,15)</f>
        <v>4142021</v>
      </c>
      <c r="L57" s="178">
        <f>VLOOKUP(B57,'財政力指数等'!$N$6:$AB$65,9)</f>
        <v>0.44</v>
      </c>
      <c r="M57" s="178">
        <f>VLOOKUP(B57,'財政力指数等'!$N$6:$AB$65,10)</f>
        <v>0.46</v>
      </c>
      <c r="N57" s="178">
        <f>VLOOKUP(B57,'財政力指数等'!$N$6:$AB$65,11)</f>
        <v>0.48</v>
      </c>
      <c r="O57" s="178">
        <f t="shared" si="1"/>
        <v>0.46</v>
      </c>
      <c r="P57" s="183">
        <f>VLOOKUP(B57,'財政力指数等'!$N$6:$AD$65,17)</f>
        <v>5.5</v>
      </c>
      <c r="Q57" s="183">
        <f>VLOOKUP(B57,'経常収支比率'!$A$5:$R$64,18)</f>
        <v>94.2</v>
      </c>
      <c r="R57" s="183">
        <f>VLOOKUP(B57,'経常収支比率'!$A$5:$R$64,17)</f>
        <v>89.6</v>
      </c>
      <c r="S57" s="183">
        <f>VLOOKUP($B57,'公債費比率'!$A$6:$G$65,3)</f>
        <v>21.9</v>
      </c>
      <c r="T57" s="183">
        <f>VLOOKUP($B57,'公債費比率'!$A$6:$G$65,4)</f>
        <v>26.1</v>
      </c>
      <c r="U57" s="183">
        <f>VLOOKUP($B57,'公債費比率'!$A$6:$G$65,5)</f>
        <v>14.2</v>
      </c>
      <c r="V57" s="183">
        <f>VLOOKUP($B57,'公債費比率'!$A$6:$G$65,7)</f>
        <v>21.1</v>
      </c>
      <c r="W57" s="183">
        <f>VLOOKUP($B57,'公債費比率'!$A$6:$G$65,6)</f>
        <v>21.101320033521166</v>
      </c>
      <c r="X57" s="281">
        <f>VLOOKUP(B57,'将来負担比率'!$A:$C,3)</f>
        <v>218</v>
      </c>
      <c r="Y57" s="167">
        <f>VLOOKUP(B57,'国調就業'!$A$4:$O$63,15)</f>
        <v>9891</v>
      </c>
      <c r="Z57" s="183">
        <f>VLOOKUP(B57,'国調就業'!$A$4:$J$63,4)</f>
        <v>9.9</v>
      </c>
      <c r="AA57" s="183">
        <f>VLOOKUP(B57,'国調就業'!$A$4:$J$63,6)</f>
        <v>33.2</v>
      </c>
      <c r="AB57" s="187">
        <f>VLOOKUP(B57,'国調就業'!$A$4:$J$63,8)</f>
        <v>56.9</v>
      </c>
      <c r="AC57" s="109"/>
    </row>
    <row r="58" spans="1:29" ht="19.5" customHeight="1">
      <c r="A58" s="307"/>
      <c r="B58" s="82">
        <v>50</v>
      </c>
      <c r="C58" s="117" t="str">
        <f>VLOOKUP(B58,'財政力指数等'!$N$6:$O$65,2)</f>
        <v>小野町</v>
      </c>
      <c r="D58" s="211" t="str">
        <f>VLOOKUP($B58,'類型'!$A$2:$C$61,3)</f>
        <v>Ⅲ－１</v>
      </c>
      <c r="E58" s="167">
        <f>VLOOKUP(B58,'国調就業'!$A$4:$R$63,16)</f>
        <v>12555</v>
      </c>
      <c r="F58" s="167">
        <f>VLOOKUP(B58,'国調就業'!$A$4:$R$63,17)</f>
        <v>12105</v>
      </c>
      <c r="G58" s="170">
        <f>VLOOKUP(B58,'住基人口'!$A$7:$F$68,5)</f>
        <v>12009</v>
      </c>
      <c r="H58" s="172">
        <f>VLOOKUP(B58,'国調就業'!$A$4:$R$63,18)</f>
        <v>125.11</v>
      </c>
      <c r="I58" s="167">
        <f>VLOOKUP(B58,'財政力指数等'!$N$6:$AB$65,8)</f>
        <v>2687896</v>
      </c>
      <c r="J58" s="167">
        <f>VLOOKUP(B58,'財政力指数等'!$N$6:$AB$65,5)</f>
        <v>1054412</v>
      </c>
      <c r="K58" s="175">
        <f>VLOOKUP(B58,'財政力指数等'!$N$6:$AB$65,15)</f>
        <v>2974744</v>
      </c>
      <c r="L58" s="178">
        <f>VLOOKUP(B58,'財政力指数等'!$N$6:$AB$65,9)</f>
        <v>0.37</v>
      </c>
      <c r="M58" s="178">
        <f>VLOOKUP(B58,'財政力指数等'!$N$6:$AB$65,10)</f>
        <v>0.38</v>
      </c>
      <c r="N58" s="178">
        <f>VLOOKUP(B58,'財政力指数等'!$N$6:$AB$65,11)</f>
        <v>0.39</v>
      </c>
      <c r="O58" s="178">
        <f t="shared" si="1"/>
        <v>0.38</v>
      </c>
      <c r="P58" s="183">
        <f>VLOOKUP(B58,'財政力指数等'!$N$6:$AD$65,17)</f>
        <v>3.1</v>
      </c>
      <c r="Q58" s="183">
        <f>VLOOKUP(B58,'経常収支比率'!$A$5:$R$64,18)</f>
        <v>89.6</v>
      </c>
      <c r="R58" s="183">
        <f>VLOOKUP(B58,'経常収支比率'!$A$5:$R$64,17)</f>
        <v>84.6</v>
      </c>
      <c r="S58" s="183">
        <f>VLOOKUP($B58,'公債費比率'!$A$6:$G$65,3)</f>
        <v>16.5</v>
      </c>
      <c r="T58" s="183">
        <f>VLOOKUP($B58,'公債費比率'!$A$6:$G$65,4)</f>
        <v>16.7</v>
      </c>
      <c r="U58" s="183">
        <f>VLOOKUP($B58,'公債費比率'!$A$6:$G$65,5)</f>
        <v>13.6</v>
      </c>
      <c r="V58" s="183">
        <f>VLOOKUP($B58,'公債費比率'!$A$6:$G$65,7)</f>
        <v>17.9</v>
      </c>
      <c r="W58" s="183">
        <f>VLOOKUP($B58,'公債費比率'!$A$6:$G$65,6)</f>
        <v>18.734754127070833</v>
      </c>
      <c r="X58" s="281">
        <f>VLOOKUP(B58,'将来負担比率'!$A:$C,3)</f>
        <v>62.9</v>
      </c>
      <c r="Y58" s="167">
        <f>VLOOKUP(B58,'国調就業'!$A$4:$O$63,15)</f>
        <v>6321</v>
      </c>
      <c r="Z58" s="183">
        <f>VLOOKUP(B58,'国調就業'!$A$4:$J$63,4)</f>
        <v>13.9</v>
      </c>
      <c r="AA58" s="183">
        <f>VLOOKUP(B58,'国調就業'!$A$4:$J$63,6)</f>
        <v>42</v>
      </c>
      <c r="AB58" s="187">
        <f>VLOOKUP(B58,'国調就業'!$A$4:$J$63,8)</f>
        <v>44</v>
      </c>
      <c r="AC58" s="109"/>
    </row>
    <row r="59" spans="1:29" ht="19.5" customHeight="1">
      <c r="A59" s="307"/>
      <c r="B59" s="82">
        <v>51</v>
      </c>
      <c r="C59" s="117" t="str">
        <f>VLOOKUP(B59,'財政力指数等'!$N$6:$O$65,2)</f>
        <v>広野町</v>
      </c>
      <c r="D59" s="211" t="str">
        <f>VLOOKUP($B59,'類型'!$A$2:$C$61,3)</f>
        <v>Ⅱ－２</v>
      </c>
      <c r="E59" s="167">
        <f>VLOOKUP(B59,'国調就業'!$A$4:$R$63,16)</f>
        <v>5813</v>
      </c>
      <c r="F59" s="167">
        <f>VLOOKUP(B59,'国調就業'!$A$4:$R$63,17)</f>
        <v>5533</v>
      </c>
      <c r="G59" s="170">
        <f>VLOOKUP(B59,'住基人口'!$A$7:$F$68,5)</f>
        <v>5549</v>
      </c>
      <c r="H59" s="172">
        <f>VLOOKUP(B59,'国調就業'!$A$4:$R$63,18)</f>
        <v>58.39</v>
      </c>
      <c r="I59" s="167">
        <f>VLOOKUP(B59,'財政力指数等'!$N$6:$AB$65,8)</f>
        <v>1431860</v>
      </c>
      <c r="J59" s="167">
        <f>VLOOKUP(B59,'財政力指数等'!$N$6:$AB$65,5)</f>
        <v>1991440</v>
      </c>
      <c r="K59" s="175">
        <f>VLOOKUP(B59,'財政力指数等'!$N$6:$AB$65,15)</f>
        <v>2630751</v>
      </c>
      <c r="L59" s="178">
        <f>VLOOKUP(B59,'財政力指数等'!$N$6:$AB$65,9)</f>
        <v>1.67</v>
      </c>
      <c r="M59" s="178">
        <f>VLOOKUP(B59,'財政力指数等'!$N$6:$AB$65,10)</f>
        <v>1.51</v>
      </c>
      <c r="N59" s="178">
        <f>VLOOKUP(B59,'財政力指数等'!$N$6:$AB$65,11)</f>
        <v>1.39</v>
      </c>
      <c r="O59" s="178">
        <f t="shared" si="1"/>
        <v>1.52</v>
      </c>
      <c r="P59" s="183">
        <f>VLOOKUP(B59,'財政力指数等'!$N$6:$AD$65,17)</f>
        <v>6.3</v>
      </c>
      <c r="Q59" s="183">
        <f>VLOOKUP(B59,'経常収支比率'!$A$5:$R$64,18)</f>
        <v>81.2</v>
      </c>
      <c r="R59" s="183">
        <f>VLOOKUP(B59,'経常収支比率'!$A$5:$R$64,17)</f>
        <v>78.2</v>
      </c>
      <c r="S59" s="183">
        <f>VLOOKUP($B59,'公債費比率'!$A$6:$G$65,3)</f>
        <v>8.9</v>
      </c>
      <c r="T59" s="183">
        <f>VLOOKUP($B59,'公債費比率'!$A$6:$G$65,4)</f>
        <v>8.9</v>
      </c>
      <c r="U59" s="183">
        <f>VLOOKUP($B59,'公債費比率'!$A$6:$G$65,5)</f>
        <v>7.3</v>
      </c>
      <c r="V59" s="183">
        <f>VLOOKUP($B59,'公債費比率'!$A$6:$G$65,7)</f>
        <v>12</v>
      </c>
      <c r="W59" s="183">
        <f>VLOOKUP($B59,'公債費比率'!$A$6:$G$65,6)</f>
        <v>13.710044303980084</v>
      </c>
      <c r="X59" s="281">
        <f>VLOOKUP(B59,'将来負担比率'!$A:$C,3)</f>
        <v>55.2</v>
      </c>
      <c r="Y59" s="167">
        <f>VLOOKUP(B59,'国調就業'!$A$4:$O$63,15)</f>
        <v>2707</v>
      </c>
      <c r="Z59" s="183">
        <f>VLOOKUP(B59,'国調就業'!$A$4:$J$63,4)</f>
        <v>5.5</v>
      </c>
      <c r="AA59" s="183">
        <f>VLOOKUP(B59,'国調就業'!$A$4:$J$63,6)</f>
        <v>33.9</v>
      </c>
      <c r="AB59" s="187">
        <f>VLOOKUP(B59,'国調就業'!$A$4:$J$63,8)</f>
        <v>60.6</v>
      </c>
      <c r="AC59" s="109"/>
    </row>
    <row r="60" spans="1:29" ht="19.5" customHeight="1">
      <c r="A60" s="307"/>
      <c r="B60" s="82">
        <v>52</v>
      </c>
      <c r="C60" s="117" t="str">
        <f>VLOOKUP(B60,'財政力指数等'!$N$6:$O$65,2)</f>
        <v>楢葉町</v>
      </c>
      <c r="D60" s="211" t="str">
        <f>VLOOKUP($B60,'類型'!$A$2:$C$61,3)</f>
        <v>Ⅱ－２</v>
      </c>
      <c r="E60" s="167">
        <f>VLOOKUP(B60,'国調就業'!$A$4:$R$63,16)</f>
        <v>8380</v>
      </c>
      <c r="F60" s="167">
        <f>VLOOKUP(B60,'国調就業'!$A$4:$R$63,17)</f>
        <v>8188</v>
      </c>
      <c r="G60" s="170">
        <f>VLOOKUP(B60,'住基人口'!$A$7:$F$68,5)</f>
        <v>8193</v>
      </c>
      <c r="H60" s="172">
        <f>VLOOKUP(B60,'国調就業'!$A$4:$R$63,18)</f>
        <v>103.45</v>
      </c>
      <c r="I60" s="167">
        <f>VLOOKUP(B60,'財政力指数等'!$N$6:$AB$65,8)</f>
        <v>1915256</v>
      </c>
      <c r="J60" s="167">
        <f>VLOOKUP(B60,'財政力指数等'!$N$6:$AB$65,5)</f>
        <v>2272651</v>
      </c>
      <c r="K60" s="175">
        <f>VLOOKUP(B60,'財政力指数等'!$N$6:$AB$65,15)</f>
        <v>2983060</v>
      </c>
      <c r="L60" s="178">
        <f>VLOOKUP(B60,'財政力指数等'!$N$6:$AB$65,9)</f>
        <v>1.17</v>
      </c>
      <c r="M60" s="178">
        <f>VLOOKUP(B60,'財政力指数等'!$N$6:$AB$65,10)</f>
        <v>1.21</v>
      </c>
      <c r="N60" s="178">
        <f>VLOOKUP(B60,'財政力指数等'!$N$6:$AB$65,11)</f>
        <v>1.19</v>
      </c>
      <c r="O60" s="178">
        <f t="shared" si="1"/>
        <v>1.19</v>
      </c>
      <c r="P60" s="183">
        <f>VLOOKUP(B60,'財政力指数等'!$N$6:$AD$65,17)</f>
        <v>7.5</v>
      </c>
      <c r="Q60" s="183">
        <f>VLOOKUP(B60,'経常収支比率'!$A$5:$R$64,18)</f>
        <v>86.2</v>
      </c>
      <c r="R60" s="183">
        <f>VLOOKUP(B60,'経常収支比率'!$A$5:$R$64,17)</f>
        <v>83.4</v>
      </c>
      <c r="S60" s="183">
        <f>VLOOKUP($B60,'公債費比率'!$A$6:$G$65,3)</f>
        <v>7.1</v>
      </c>
      <c r="T60" s="183">
        <f>VLOOKUP($B60,'公債費比率'!$A$6:$G$65,4)</f>
        <v>7.1</v>
      </c>
      <c r="U60" s="183">
        <f>VLOOKUP($B60,'公債費比率'!$A$6:$G$65,5)</f>
        <v>6.5</v>
      </c>
      <c r="V60" s="183">
        <f>VLOOKUP($B60,'公債費比率'!$A$6:$G$65,7)</f>
        <v>11</v>
      </c>
      <c r="W60" s="183">
        <f>VLOOKUP($B60,'公債費比率'!$A$6:$G$65,6)</f>
        <v>10.706236898650005</v>
      </c>
      <c r="X60" s="281">
        <f>VLOOKUP(B60,'将来負担比率'!$A:$C,3)</f>
        <v>7.6</v>
      </c>
      <c r="Y60" s="167">
        <f>VLOOKUP(B60,'国調就業'!$A$4:$O$63,15)</f>
        <v>3984</v>
      </c>
      <c r="Z60" s="183">
        <f>VLOOKUP(B60,'国調就業'!$A$4:$J$63,4)</f>
        <v>8.3</v>
      </c>
      <c r="AA60" s="183">
        <f>VLOOKUP(B60,'国調就業'!$A$4:$J$63,6)</f>
        <v>35.7</v>
      </c>
      <c r="AB60" s="187">
        <f>VLOOKUP(B60,'国調就業'!$A$4:$J$63,8)</f>
        <v>56</v>
      </c>
      <c r="AC60" s="109"/>
    </row>
    <row r="61" spans="1:29" ht="19.5" customHeight="1">
      <c r="A61" s="307"/>
      <c r="B61" s="82">
        <v>53</v>
      </c>
      <c r="C61" s="117" t="str">
        <f>VLOOKUP(B61,'財政力指数等'!$N$6:$O$65,2)</f>
        <v>富岡町</v>
      </c>
      <c r="D61" s="211" t="str">
        <f>VLOOKUP($B61,'類型'!$A$2:$C$61,3)</f>
        <v>Ⅳ－２</v>
      </c>
      <c r="E61" s="167">
        <f>VLOOKUP(B61,'国調就業'!$A$4:$R$63,16)</f>
        <v>16173</v>
      </c>
      <c r="F61" s="167">
        <f>VLOOKUP(B61,'国調就業'!$A$4:$R$63,17)</f>
        <v>15910</v>
      </c>
      <c r="G61" s="170">
        <f>VLOOKUP(B61,'住基人口'!$A$7:$F$68,5)</f>
        <v>15931</v>
      </c>
      <c r="H61" s="172">
        <f>VLOOKUP(B61,'国調就業'!$A$4:$R$63,18)</f>
        <v>68.47</v>
      </c>
      <c r="I61" s="167">
        <f>VLOOKUP(B61,'財政力指数等'!$N$6:$AB$65,8)</f>
        <v>3020419</v>
      </c>
      <c r="J61" s="167">
        <f>VLOOKUP(B61,'財政力指数等'!$N$6:$AB$65,5)</f>
        <v>2786024</v>
      </c>
      <c r="K61" s="175">
        <f>VLOOKUP(B61,'財政力指数等'!$N$6:$AB$65,15)</f>
        <v>3873606</v>
      </c>
      <c r="L61" s="178">
        <f>VLOOKUP(B61,'財政力指数等'!$N$6:$AB$65,9)</f>
        <v>0.91</v>
      </c>
      <c r="M61" s="178">
        <f>VLOOKUP(B61,'財政力指数等'!$N$6:$AB$65,10)</f>
        <v>0.92</v>
      </c>
      <c r="N61" s="178">
        <f>VLOOKUP(B61,'財政力指数等'!$N$6:$AB$65,11)</f>
        <v>0.92</v>
      </c>
      <c r="O61" s="178">
        <f t="shared" si="1"/>
        <v>0.92</v>
      </c>
      <c r="P61" s="183">
        <f>VLOOKUP(B61,'財政力指数等'!$N$6:$AD$65,17)</f>
        <v>5.1</v>
      </c>
      <c r="Q61" s="183">
        <f>VLOOKUP(B61,'経常収支比率'!$A$5:$R$64,18)</f>
        <v>97.2</v>
      </c>
      <c r="R61" s="183">
        <f>VLOOKUP(B61,'経常収支比率'!$A$5:$R$64,17)</f>
        <v>97.2</v>
      </c>
      <c r="S61" s="183">
        <f>VLOOKUP($B61,'公債費比率'!$A$6:$G$65,3)</f>
        <v>12.9</v>
      </c>
      <c r="T61" s="183">
        <f>VLOOKUP($B61,'公債費比率'!$A$6:$G$65,4)</f>
        <v>12.9</v>
      </c>
      <c r="U61" s="183">
        <f>VLOOKUP($B61,'公債費比率'!$A$6:$G$65,5)</f>
        <v>9.5</v>
      </c>
      <c r="V61" s="183">
        <f>VLOOKUP($B61,'公債費比率'!$A$6:$G$65,7)</f>
        <v>17.9</v>
      </c>
      <c r="W61" s="183">
        <f>VLOOKUP($B61,'公債費比率'!$A$6:$G$65,6)</f>
        <v>17.82202748567944</v>
      </c>
      <c r="X61" s="281">
        <f>VLOOKUP(B61,'将来負担比率'!$A:$C,3)</f>
        <v>109.1</v>
      </c>
      <c r="Y61" s="167">
        <f>VLOOKUP(B61,'国調就業'!$A$4:$O$63,15)</f>
        <v>7807</v>
      </c>
      <c r="Z61" s="183">
        <f>VLOOKUP(B61,'国調就業'!$A$4:$J$63,4)</f>
        <v>6.3</v>
      </c>
      <c r="AA61" s="183">
        <f>VLOOKUP(B61,'国調就業'!$A$4:$J$63,6)</f>
        <v>32.9</v>
      </c>
      <c r="AB61" s="187">
        <f>VLOOKUP(B61,'国調就業'!$A$4:$J$63,8)</f>
        <v>60.8</v>
      </c>
      <c r="AC61" s="109"/>
    </row>
    <row r="62" spans="1:29" ht="19.5" customHeight="1">
      <c r="A62" s="307"/>
      <c r="B62" s="82">
        <v>54</v>
      </c>
      <c r="C62" s="117" t="str">
        <f>VLOOKUP(B62,'財政力指数等'!$N$6:$O$65,2)</f>
        <v>川内村</v>
      </c>
      <c r="D62" s="211" t="str">
        <f>VLOOKUP($B62,'類型'!$A$2:$C$61,3)</f>
        <v>Ⅰ－０</v>
      </c>
      <c r="E62" s="167">
        <f>VLOOKUP(B62,'国調就業'!$A$4:$R$63,16)</f>
        <v>3384</v>
      </c>
      <c r="F62" s="167">
        <f>VLOOKUP(B62,'国調就業'!$A$4:$R$63,17)</f>
        <v>3125</v>
      </c>
      <c r="G62" s="170">
        <f>VLOOKUP(B62,'住基人口'!$A$7:$F$68,5)</f>
        <v>3213</v>
      </c>
      <c r="H62" s="172">
        <f>VLOOKUP(B62,'国調就業'!$A$4:$R$63,18)</f>
        <v>197.38</v>
      </c>
      <c r="I62" s="167">
        <f>VLOOKUP(B62,'財政力指数等'!$N$6:$AB$65,8)</f>
        <v>1480126</v>
      </c>
      <c r="J62" s="167">
        <f>VLOOKUP(B62,'財政力指数等'!$N$6:$AB$65,5)</f>
        <v>429235</v>
      </c>
      <c r="K62" s="175">
        <f>VLOOKUP(B62,'財政力指数等'!$N$6:$AB$65,15)</f>
        <v>1600965</v>
      </c>
      <c r="L62" s="178">
        <f>VLOOKUP(B62,'財政力指数等'!$N$6:$AB$65,9)</f>
        <v>0.31</v>
      </c>
      <c r="M62" s="178">
        <f>VLOOKUP(B62,'財政力指数等'!$N$6:$AB$65,10)</f>
        <v>0.32</v>
      </c>
      <c r="N62" s="178">
        <f>VLOOKUP(B62,'財政力指数等'!$N$6:$AB$65,11)</f>
        <v>0.29</v>
      </c>
      <c r="O62" s="178">
        <f t="shared" si="1"/>
        <v>0.31</v>
      </c>
      <c r="P62" s="183">
        <f>VLOOKUP(B62,'財政力指数等'!$N$6:$AD$65,17)</f>
        <v>4.2</v>
      </c>
      <c r="Q62" s="183">
        <f>VLOOKUP(B62,'経常収支比率'!$A$5:$R$64,18)</f>
        <v>96.2</v>
      </c>
      <c r="R62" s="183">
        <f>VLOOKUP(B62,'経常収支比率'!$A$5:$R$64,17)</f>
        <v>90.9</v>
      </c>
      <c r="S62" s="183">
        <f>VLOOKUP($B62,'公債費比率'!$A$6:$G$65,3)</f>
        <v>10.2</v>
      </c>
      <c r="T62" s="183">
        <f>VLOOKUP($B62,'公債費比率'!$A$6:$G$65,4)</f>
        <v>10.2</v>
      </c>
      <c r="U62" s="183">
        <f>VLOOKUP($B62,'公債費比率'!$A$6:$G$65,5)</f>
        <v>3.3</v>
      </c>
      <c r="V62" s="183">
        <f>VLOOKUP($B62,'公債費比率'!$A$6:$G$65,7)</f>
        <v>10.7</v>
      </c>
      <c r="W62" s="183">
        <f>VLOOKUP($B62,'公債費比率'!$A$6:$G$65,6)</f>
        <v>12.297736921059027</v>
      </c>
      <c r="X62" s="281">
        <f>VLOOKUP(B62,'将来負担比率'!$A:$C,3)</f>
        <v>2.4</v>
      </c>
      <c r="Y62" s="167">
        <f>VLOOKUP(B62,'国調就業'!$A$4:$O$63,15)</f>
        <v>1459</v>
      </c>
      <c r="Z62" s="183">
        <f>VLOOKUP(B62,'国調就業'!$A$4:$J$63,4)</f>
        <v>21.9</v>
      </c>
      <c r="AA62" s="183">
        <f>VLOOKUP(B62,'国調就業'!$A$4:$J$63,6)</f>
        <v>31.7</v>
      </c>
      <c r="AB62" s="187">
        <f>VLOOKUP(B62,'国調就業'!$A$4:$J$63,8)</f>
        <v>46.4</v>
      </c>
      <c r="AC62" s="109"/>
    </row>
    <row r="63" spans="1:29" ht="19.5" customHeight="1">
      <c r="A63" s="307"/>
      <c r="B63" s="82">
        <v>55</v>
      </c>
      <c r="C63" s="117" t="str">
        <f>VLOOKUP(B63,'財政力指数等'!$N$6:$O$65,2)</f>
        <v>大熊町</v>
      </c>
      <c r="D63" s="211" t="str">
        <f>VLOOKUP($B63,'類型'!$A$2:$C$61,3)</f>
        <v>Ⅲ－２</v>
      </c>
      <c r="E63" s="167">
        <f>VLOOKUP(B63,'国調就業'!$A$4:$R$63,16)</f>
        <v>10803</v>
      </c>
      <c r="F63" s="167">
        <f>VLOOKUP(B63,'国調就業'!$A$4:$R$63,17)</f>
        <v>10992</v>
      </c>
      <c r="G63" s="170">
        <f>VLOOKUP(B63,'住基人口'!$A$7:$F$68,5)</f>
        <v>11081</v>
      </c>
      <c r="H63" s="172">
        <f>VLOOKUP(B63,'国調就業'!$A$4:$R$63,18)</f>
        <v>78.7</v>
      </c>
      <c r="I63" s="167">
        <f>VLOOKUP(B63,'財政力指数等'!$N$6:$AB$65,8)</f>
        <v>2024898</v>
      </c>
      <c r="J63" s="167">
        <f>VLOOKUP(B63,'財政力指数等'!$N$6:$AB$65,5)</f>
        <v>3173221</v>
      </c>
      <c r="K63" s="175">
        <f>VLOOKUP(B63,'財政力指数等'!$N$6:$AB$65,15)</f>
        <v>4175853</v>
      </c>
      <c r="L63" s="178">
        <f>VLOOKUP(B63,'財政力指数等'!$N$6:$AB$65,9)</f>
        <v>1.67</v>
      </c>
      <c r="M63" s="178">
        <f>VLOOKUP(B63,'財政力指数等'!$N$6:$AB$65,10)</f>
        <v>1.66</v>
      </c>
      <c r="N63" s="178">
        <f>VLOOKUP(B63,'財政力指数等'!$N$6:$AB$65,11)</f>
        <v>1.57</v>
      </c>
      <c r="O63" s="178">
        <f t="shared" si="1"/>
        <v>1.63</v>
      </c>
      <c r="P63" s="183">
        <f>VLOOKUP(B63,'財政力指数等'!$N$6:$AD$65,17)</f>
        <v>4.5</v>
      </c>
      <c r="Q63" s="183">
        <f>VLOOKUP(B63,'経常収支比率'!$A$5:$R$64,18)</f>
        <v>64.1</v>
      </c>
      <c r="R63" s="183">
        <f>VLOOKUP(B63,'経常収支比率'!$A$5:$R$64,17)</f>
        <v>64.1</v>
      </c>
      <c r="S63" s="183">
        <f>VLOOKUP($B63,'公債費比率'!$A$6:$G$65,3)</f>
        <v>0.4</v>
      </c>
      <c r="T63" s="183">
        <f>VLOOKUP($B63,'公債費比率'!$A$6:$G$65,4)</f>
        <v>0.4</v>
      </c>
      <c r="U63" s="183">
        <f>VLOOKUP($B63,'公債費比率'!$A$6:$G$65,5)</f>
        <v>1.7</v>
      </c>
      <c r="V63" s="183">
        <f>VLOOKUP($B63,'公債費比率'!$A$6:$G$65,7)</f>
        <v>3.9</v>
      </c>
      <c r="W63" s="183">
        <f>VLOOKUP($B63,'公債費比率'!$A$6:$G$65,6)</f>
        <v>1.5311080304491111</v>
      </c>
      <c r="X63" s="285" t="str">
        <f>VLOOKUP(B63,'将来負担比率'!$A:$C,3)</f>
        <v>-</v>
      </c>
      <c r="Y63" s="167">
        <f>VLOOKUP(B63,'国調就業'!$A$4:$O$63,15)</f>
        <v>5319</v>
      </c>
      <c r="Z63" s="183">
        <f>VLOOKUP(B63,'国調就業'!$A$4:$J$63,4)</f>
        <v>8.8</v>
      </c>
      <c r="AA63" s="183">
        <f>VLOOKUP(B63,'国調就業'!$A$4:$J$63,6)</f>
        <v>30.5</v>
      </c>
      <c r="AB63" s="187">
        <f>VLOOKUP(B63,'国調就業'!$A$4:$J$63,8)</f>
        <v>60.7</v>
      </c>
      <c r="AC63" s="109"/>
    </row>
    <row r="64" spans="1:29" ht="19.5" customHeight="1">
      <c r="A64" s="307"/>
      <c r="B64" s="82">
        <v>56</v>
      </c>
      <c r="C64" s="117" t="str">
        <f>VLOOKUP(B64,'財政力指数等'!$N$6:$O$65,2)</f>
        <v>双葉町</v>
      </c>
      <c r="D64" s="211" t="str">
        <f>VLOOKUP($B64,'類型'!$A$2:$C$61,3)</f>
        <v>Ⅱ－２</v>
      </c>
      <c r="E64" s="167">
        <f>VLOOKUP(B64,'国調就業'!$A$4:$R$63,16)</f>
        <v>7647</v>
      </c>
      <c r="F64" s="167">
        <f>VLOOKUP(B64,'国調就業'!$A$4:$R$63,17)</f>
        <v>7170</v>
      </c>
      <c r="G64" s="170">
        <f>VLOOKUP(B64,'住基人口'!$A$7:$F$68,5)</f>
        <v>7306</v>
      </c>
      <c r="H64" s="172">
        <f>VLOOKUP(B64,'国調就業'!$A$4:$R$63,18)</f>
        <v>51.4</v>
      </c>
      <c r="I64" s="167">
        <f>VLOOKUP(B64,'財政力指数等'!$N$6:$AB$65,8)</f>
        <v>1854360</v>
      </c>
      <c r="J64" s="167">
        <f>VLOOKUP(B64,'財政力指数等'!$N$6:$AB$65,5)</f>
        <v>1450423</v>
      </c>
      <c r="K64" s="175">
        <f>VLOOKUP(B64,'財政力指数等'!$N$6:$AB$65,15)</f>
        <v>2298345</v>
      </c>
      <c r="L64" s="178">
        <f>VLOOKUP(B64,'財政力指数等'!$N$6:$AB$65,9)</f>
        <v>0.8</v>
      </c>
      <c r="M64" s="178">
        <f>VLOOKUP(B64,'財政力指数等'!$N$6:$AB$65,10)</f>
        <v>0.79</v>
      </c>
      <c r="N64" s="178">
        <f>VLOOKUP(B64,'財政力指数等'!$N$6:$AB$65,11)</f>
        <v>0.78</v>
      </c>
      <c r="O64" s="178">
        <f t="shared" si="1"/>
        <v>0.79</v>
      </c>
      <c r="P64" s="183">
        <f>VLOOKUP(B64,'財政力指数等'!$N$6:$AD$65,17)</f>
        <v>4.7</v>
      </c>
      <c r="Q64" s="183">
        <f>VLOOKUP(B64,'経常収支比率'!$A$5:$R$64,18)</f>
        <v>105.2</v>
      </c>
      <c r="R64" s="183">
        <f>VLOOKUP(B64,'経常収支比率'!$A$5:$R$64,17)</f>
        <v>99.6</v>
      </c>
      <c r="S64" s="183">
        <f>VLOOKUP($B64,'公債費比率'!$A$6:$G$65,3)</f>
        <v>21.9</v>
      </c>
      <c r="T64" s="183">
        <f>VLOOKUP($B64,'公債費比率'!$A$6:$G$65,4)</f>
        <v>26</v>
      </c>
      <c r="U64" s="183">
        <f>VLOOKUP($B64,'公債費比率'!$A$6:$G$65,5)</f>
        <v>16.2</v>
      </c>
      <c r="V64" s="183">
        <f>VLOOKUP($B64,'公債費比率'!$A$6:$G$65,7)</f>
        <v>30.1</v>
      </c>
      <c r="W64" s="183">
        <f>VLOOKUP($B64,'公債費比率'!$A$6:$G$65,6)</f>
        <v>29.073604764980722</v>
      </c>
      <c r="X64" s="281">
        <f>VLOOKUP(B64,'将来負担比率'!$A:$C,3)</f>
        <v>207.3</v>
      </c>
      <c r="Y64" s="167">
        <f>VLOOKUP(B64,'国調就業'!$A$4:$O$63,15)</f>
        <v>3449</v>
      </c>
      <c r="Z64" s="183">
        <f>VLOOKUP(B64,'国調就業'!$A$4:$J$63,4)</f>
        <v>9.6</v>
      </c>
      <c r="AA64" s="183">
        <f>VLOOKUP(B64,'国調就業'!$A$4:$J$63,6)</f>
        <v>27.1</v>
      </c>
      <c r="AB64" s="187">
        <f>VLOOKUP(B64,'国調就業'!$A$4:$J$63,8)</f>
        <v>63.3</v>
      </c>
      <c r="AC64" s="109"/>
    </row>
    <row r="65" spans="1:29" ht="19.5" customHeight="1">
      <c r="A65" s="307"/>
      <c r="B65" s="82">
        <v>57</v>
      </c>
      <c r="C65" s="117" t="str">
        <f>VLOOKUP(B65,'財政力指数等'!$N$6:$O$65,2)</f>
        <v>浪江町</v>
      </c>
      <c r="D65" s="211" t="str">
        <f>VLOOKUP($B65,'類型'!$A$2:$C$61,3)</f>
        <v>Ⅴ－２</v>
      </c>
      <c r="E65" s="167">
        <f>VLOOKUP(B65,'国調就業'!$A$4:$R$63,16)</f>
        <v>22609</v>
      </c>
      <c r="F65" s="167">
        <f>VLOOKUP(B65,'国調就業'!$A$4:$R$63,17)</f>
        <v>21615</v>
      </c>
      <c r="G65" s="170">
        <f>VLOOKUP(B65,'住基人口'!$A$7:$F$68,5)</f>
        <v>21933</v>
      </c>
      <c r="H65" s="172">
        <f>VLOOKUP(B65,'国調就業'!$A$4:$R$63,18)</f>
        <v>223.1</v>
      </c>
      <c r="I65" s="167">
        <f>VLOOKUP(B65,'財政力指数等'!$N$6:$AB$65,8)</f>
        <v>4197629</v>
      </c>
      <c r="J65" s="167">
        <f>VLOOKUP(B65,'財政力指数等'!$N$6:$AB$65,5)</f>
        <v>2005839</v>
      </c>
      <c r="K65" s="175">
        <f>VLOOKUP(B65,'財政力指数等'!$N$6:$AB$65,15)</f>
        <v>4751303</v>
      </c>
      <c r="L65" s="178">
        <f>VLOOKUP(B65,'財政力指数等'!$N$6:$AB$65,9)</f>
        <v>0.45</v>
      </c>
      <c r="M65" s="178">
        <f>VLOOKUP(B65,'財政力指数等'!$N$6:$AB$65,10)</f>
        <v>0.46</v>
      </c>
      <c r="N65" s="178">
        <f>VLOOKUP(B65,'財政力指数等'!$N$6:$AB$65,11)</f>
        <v>0.48</v>
      </c>
      <c r="O65" s="178">
        <f t="shared" si="1"/>
        <v>0.46</v>
      </c>
      <c r="P65" s="183">
        <f>VLOOKUP(B65,'財政力指数等'!$N$6:$AD$65,17)</f>
        <v>3.1</v>
      </c>
      <c r="Q65" s="183">
        <f>VLOOKUP(B65,'経常収支比率'!$A$5:$R$64,18)</f>
        <v>90.8</v>
      </c>
      <c r="R65" s="183">
        <f>VLOOKUP(B65,'経常収支比率'!$A$5:$R$64,17)</f>
        <v>86.5</v>
      </c>
      <c r="S65" s="183">
        <f>VLOOKUP($B65,'公債費比率'!$A$6:$G$65,3)</f>
        <v>12.4</v>
      </c>
      <c r="T65" s="183">
        <f>VLOOKUP($B65,'公債費比率'!$A$6:$G$65,4)</f>
        <v>18.2</v>
      </c>
      <c r="U65" s="183">
        <f>VLOOKUP($B65,'公債費比率'!$A$6:$G$65,5)</f>
        <v>9.6</v>
      </c>
      <c r="V65" s="183">
        <f>VLOOKUP($B65,'公債費比率'!$A$6:$G$65,7)</f>
        <v>19.1</v>
      </c>
      <c r="W65" s="183">
        <f>VLOOKUP($B65,'公債費比率'!$A$6:$G$65,6)</f>
        <v>19.936789161215096</v>
      </c>
      <c r="X65" s="281">
        <f>VLOOKUP(B65,'将来負担比率'!$A:$C,3)</f>
        <v>114.1</v>
      </c>
      <c r="Y65" s="167">
        <f>VLOOKUP(B65,'国調就業'!$A$4:$O$63,15)</f>
        <v>10364</v>
      </c>
      <c r="Z65" s="183">
        <f>VLOOKUP(B65,'国調就業'!$A$4:$J$63,4)</f>
        <v>10.3</v>
      </c>
      <c r="AA65" s="183">
        <f>VLOOKUP(B65,'国調就業'!$A$4:$J$63,6)</f>
        <v>34.1</v>
      </c>
      <c r="AB65" s="187">
        <f>VLOOKUP(B65,'国調就業'!$A$4:$J$63,8)</f>
        <v>55.6</v>
      </c>
      <c r="AC65" s="109"/>
    </row>
    <row r="66" spans="1:29" ht="19.5" customHeight="1">
      <c r="A66" s="307"/>
      <c r="B66" s="82">
        <v>58</v>
      </c>
      <c r="C66" s="117" t="str">
        <f>VLOOKUP(B66,'財政力指数等'!$N$6:$O$65,2)</f>
        <v>葛尾村</v>
      </c>
      <c r="D66" s="211" t="str">
        <f>VLOOKUP($B66,'類型'!$A$2:$C$61,3)</f>
        <v>Ⅰ－０</v>
      </c>
      <c r="E66" s="167">
        <f>VLOOKUP(B66,'国調就業'!$A$4:$R$63,16)</f>
        <v>1736</v>
      </c>
      <c r="F66" s="167">
        <f>VLOOKUP(B66,'国調就業'!$A$4:$R$63,17)</f>
        <v>1625</v>
      </c>
      <c r="G66" s="170">
        <f>VLOOKUP(B66,'住基人口'!$A$7:$F$68,5)</f>
        <v>1640</v>
      </c>
      <c r="H66" s="172">
        <f>VLOOKUP(B66,'国調就業'!$A$4:$R$63,18)</f>
        <v>84.23</v>
      </c>
      <c r="I66" s="167">
        <f>VLOOKUP(B66,'財政力指数等'!$N$6:$AB$65,8)</f>
        <v>898329</v>
      </c>
      <c r="J66" s="167">
        <f>VLOOKUP(B66,'財政力指数等'!$N$6:$AB$65,5)</f>
        <v>134101</v>
      </c>
      <c r="K66" s="175">
        <f>VLOOKUP(B66,'財政力指数等'!$N$6:$AB$65,15)</f>
        <v>930162</v>
      </c>
      <c r="L66" s="178">
        <f>VLOOKUP(B66,'財政力指数等'!$N$6:$AB$65,9)</f>
        <v>0.14</v>
      </c>
      <c r="M66" s="178">
        <f>VLOOKUP(B66,'財政力指数等'!$N$6:$AB$65,10)</f>
        <v>0.15</v>
      </c>
      <c r="N66" s="178">
        <f>VLOOKUP(B66,'財政力指数等'!$N$6:$AB$65,11)</f>
        <v>0.15</v>
      </c>
      <c r="O66" s="178">
        <f t="shared" si="1"/>
        <v>0.15</v>
      </c>
      <c r="P66" s="183">
        <f>VLOOKUP(B66,'財政力指数等'!$N$6:$AD$65,17)</f>
        <v>10.4</v>
      </c>
      <c r="Q66" s="183">
        <f>VLOOKUP(B66,'経常収支比率'!$A$5:$R$64,18)</f>
        <v>97.9</v>
      </c>
      <c r="R66" s="183">
        <f>VLOOKUP(B66,'経常収支比率'!$A$5:$R$64,17)</f>
        <v>92.5</v>
      </c>
      <c r="S66" s="183">
        <f>VLOOKUP($B66,'公債費比率'!$A$6:$G$65,3)</f>
        <v>17.9</v>
      </c>
      <c r="T66" s="183">
        <f>VLOOKUP($B66,'公債費比率'!$A$6:$G$65,4)</f>
        <v>18.2</v>
      </c>
      <c r="U66" s="183">
        <f>VLOOKUP($B66,'公債費比率'!$A$6:$G$65,5)</f>
        <v>15.1</v>
      </c>
      <c r="V66" s="183">
        <f>VLOOKUP($B66,'公債費比率'!$A$6:$G$65,7)</f>
        <v>16.8</v>
      </c>
      <c r="W66" s="183">
        <f>VLOOKUP($B66,'公債費比率'!$A$6:$G$65,6)</f>
        <v>16.387327336973982</v>
      </c>
      <c r="X66" s="281">
        <f>VLOOKUP(B66,'将来負担比率'!$A:$C,3)</f>
        <v>27.8</v>
      </c>
      <c r="Y66" s="167">
        <f>VLOOKUP(B66,'国調就業'!$A$4:$O$63,15)</f>
        <v>888</v>
      </c>
      <c r="Z66" s="183">
        <f>VLOOKUP(B66,'国調就業'!$A$4:$J$63,4)</f>
        <v>38.3</v>
      </c>
      <c r="AA66" s="183">
        <f>VLOOKUP(B66,'国調就業'!$A$4:$J$63,6)</f>
        <v>31.9</v>
      </c>
      <c r="AB66" s="187">
        <f>VLOOKUP(B66,'国調就業'!$A$4:$J$63,8)</f>
        <v>29.8</v>
      </c>
      <c r="AC66" s="109"/>
    </row>
    <row r="67" spans="1:29" ht="19.5" customHeight="1">
      <c r="A67" s="307"/>
      <c r="B67" s="82">
        <v>59</v>
      </c>
      <c r="C67" s="117" t="str">
        <f>VLOOKUP(B67,'財政力指数等'!$N$6:$O$65,2)</f>
        <v>新地町</v>
      </c>
      <c r="D67" s="211" t="str">
        <f>VLOOKUP($B67,'類型'!$A$2:$C$61,3)</f>
        <v>Ⅱ－１</v>
      </c>
      <c r="E67" s="167">
        <f>VLOOKUP(B67,'国調就業'!$A$4:$R$63,16)</f>
        <v>9017</v>
      </c>
      <c r="F67" s="167">
        <f>VLOOKUP(B67,'国調就業'!$A$4:$R$63,17)</f>
        <v>8584</v>
      </c>
      <c r="G67" s="170">
        <f>VLOOKUP(B67,'住基人口'!$A$7:$F$68,5)</f>
        <v>8591</v>
      </c>
      <c r="H67" s="172">
        <f>VLOOKUP(B67,'国調就業'!$A$4:$R$63,18)</f>
        <v>46.35</v>
      </c>
      <c r="I67" s="167">
        <f>VLOOKUP(B67,'財政力指数等'!$N$6:$AB$65,8)</f>
        <v>2130841</v>
      </c>
      <c r="J67" s="167">
        <f>VLOOKUP(B67,'財政力指数等'!$N$6:$AB$65,5)</f>
        <v>1920907</v>
      </c>
      <c r="K67" s="175">
        <f>VLOOKUP(B67,'財政力指数等'!$N$6:$AB$65,15)</f>
        <v>2714276</v>
      </c>
      <c r="L67" s="178">
        <f>VLOOKUP(B67,'財政力指数等'!$N$6:$AB$65,9)</f>
        <v>1.03</v>
      </c>
      <c r="M67" s="178">
        <f>VLOOKUP(B67,'財政力指数等'!$N$6:$AB$65,10)</f>
        <v>0.98</v>
      </c>
      <c r="N67" s="178">
        <f>VLOOKUP(B67,'財政力指数等'!$N$6:$AB$65,11)</f>
        <v>0.9</v>
      </c>
      <c r="O67" s="178">
        <f t="shared" si="1"/>
        <v>0.97</v>
      </c>
      <c r="P67" s="183">
        <f>VLOOKUP(B67,'財政力指数等'!$N$6:$AD$65,17)</f>
        <v>9</v>
      </c>
      <c r="Q67" s="183">
        <f>VLOOKUP(B67,'経常収支比率'!$A$5:$R$64,18)</f>
        <v>81.5</v>
      </c>
      <c r="R67" s="183">
        <f>VLOOKUP(B67,'経常収支比率'!$A$5:$R$64,17)</f>
        <v>77.5</v>
      </c>
      <c r="S67" s="183">
        <f>VLOOKUP($B67,'公債費比率'!$A$6:$G$65,3)</f>
        <v>11</v>
      </c>
      <c r="T67" s="183">
        <f>VLOOKUP($B67,'公債費比率'!$A$6:$G$65,4)</f>
        <v>13.8</v>
      </c>
      <c r="U67" s="183">
        <f>VLOOKUP($B67,'公債費比率'!$A$6:$G$65,5)</f>
        <v>8.5</v>
      </c>
      <c r="V67" s="183">
        <f>VLOOKUP($B67,'公債費比率'!$A$6:$G$65,7)</f>
        <v>14.8</v>
      </c>
      <c r="W67" s="183">
        <f>VLOOKUP($B67,'公債費比率'!$A$6:$G$65,6)</f>
        <v>14.527611154578032</v>
      </c>
      <c r="X67" s="281">
        <f>VLOOKUP(B67,'将来負担比率'!$A:$C,3)</f>
        <v>94.5</v>
      </c>
      <c r="Y67" s="167">
        <f>VLOOKUP(B67,'国調就業'!$A$4:$O$63,15)</f>
        <v>4208</v>
      </c>
      <c r="Z67" s="183">
        <f>VLOOKUP(B67,'国調就業'!$A$4:$J$63,4)</f>
        <v>15.3</v>
      </c>
      <c r="AA67" s="183">
        <f>VLOOKUP(B67,'国調就業'!$A$4:$J$63,6)</f>
        <v>36</v>
      </c>
      <c r="AB67" s="187">
        <f>VLOOKUP(B67,'国調就業'!$A$4:$J$63,8)</f>
        <v>48.7</v>
      </c>
      <c r="AC67" s="109"/>
    </row>
    <row r="68" spans="1:29" ht="19.5" customHeight="1">
      <c r="A68" s="307"/>
      <c r="B68" s="82">
        <v>60</v>
      </c>
      <c r="C68" s="117" t="str">
        <f>VLOOKUP(B68,'財政力指数等'!$N$6:$O$65,2)</f>
        <v>飯舘村</v>
      </c>
      <c r="D68" s="211" t="str">
        <f>VLOOKUP($B68,'類型'!$A$2:$C$61,3)</f>
        <v>Ⅱ－０</v>
      </c>
      <c r="E68" s="167">
        <f>VLOOKUP(B68,'国調就業'!$A$4:$R$63,16)</f>
        <v>7093</v>
      </c>
      <c r="F68" s="167">
        <f>VLOOKUP(B68,'国調就業'!$A$4:$R$63,17)</f>
        <v>6722</v>
      </c>
      <c r="G68" s="170">
        <f>VLOOKUP(B68,'住基人口'!$A$7:$F$68,5)</f>
        <v>6764</v>
      </c>
      <c r="H68" s="172">
        <f>VLOOKUP(B68,'国調就業'!$A$4:$R$63,18)</f>
        <v>230.13</v>
      </c>
      <c r="I68" s="167">
        <f>VLOOKUP(B68,'財政力指数等'!$N$6:$AB$65,8)</f>
        <v>2450299</v>
      </c>
      <c r="J68" s="167">
        <f>VLOOKUP(B68,'財政力指数等'!$N$6:$AB$65,5)</f>
        <v>604037</v>
      </c>
      <c r="K68" s="175">
        <f>VLOOKUP(B68,'財政力指数等'!$N$6:$AB$65,15)</f>
        <v>2603710</v>
      </c>
      <c r="L68" s="178">
        <f>VLOOKUP(B68,'財政力指数等'!$N$6:$AB$65,9)</f>
        <v>0.24</v>
      </c>
      <c r="M68" s="178">
        <f>VLOOKUP(B68,'財政力指数等'!$N$6:$AB$65,10)</f>
        <v>0.24</v>
      </c>
      <c r="N68" s="178">
        <f>VLOOKUP(B68,'財政力指数等'!$N$6:$AB$65,11)</f>
        <v>0.25</v>
      </c>
      <c r="O68" s="178">
        <f t="shared" si="1"/>
        <v>0.24</v>
      </c>
      <c r="P68" s="183">
        <f>VLOOKUP(B68,'財政力指数等'!$N$6:$AD$65,17)</f>
        <v>6.1</v>
      </c>
      <c r="Q68" s="183">
        <f>VLOOKUP(B68,'経常収支比率'!$A$5:$R$64,18)</f>
        <v>92.5</v>
      </c>
      <c r="R68" s="183">
        <f>VLOOKUP(B68,'経常収支比率'!$A$5:$R$64,17)</f>
        <v>87.6</v>
      </c>
      <c r="S68" s="183">
        <f>VLOOKUP($B68,'公債費比率'!$A$6:$G$65,3)</f>
        <v>10.6</v>
      </c>
      <c r="T68" s="183">
        <f>VLOOKUP($B68,'公債費比率'!$A$6:$G$65,4)</f>
        <v>10.6</v>
      </c>
      <c r="U68" s="183">
        <f>VLOOKUP($B68,'公債費比率'!$A$6:$G$65,5)</f>
        <v>6.9</v>
      </c>
      <c r="V68" s="184">
        <f>VLOOKUP($B68,'公債費比率'!$A$6:$G$65,7)</f>
        <v>9.9</v>
      </c>
      <c r="W68" s="184">
        <f>VLOOKUP($B68,'公債費比率'!$A$6:$G$65,6)</f>
        <v>10.77216305957584</v>
      </c>
      <c r="X68" s="282">
        <f>VLOOKUP(B68,'将来負担比率'!$A:$C,3)</f>
        <v>44.5</v>
      </c>
      <c r="Y68" s="167">
        <f>VLOOKUP(B68,'国調就業'!$A$4:$O$63,15)</f>
        <v>3403</v>
      </c>
      <c r="Z68" s="183">
        <f>VLOOKUP(B68,'国調就業'!$A$4:$J$63,4)</f>
        <v>29.8</v>
      </c>
      <c r="AA68" s="183">
        <f>VLOOKUP(B68,'国調就業'!$A$4:$J$63,6)</f>
        <v>39.3</v>
      </c>
      <c r="AB68" s="187">
        <f>VLOOKUP(B68,'国調就業'!$A$4:$J$63,8)</f>
        <v>30.9</v>
      </c>
      <c r="AC68" s="109"/>
    </row>
    <row r="69" spans="1:29" ht="19.5" customHeight="1">
      <c r="A69" s="307"/>
      <c r="B69" s="82"/>
      <c r="C69" s="287" t="s">
        <v>64</v>
      </c>
      <c r="D69" s="288"/>
      <c r="E69" s="169">
        <f aca="true" t="shared" si="3" ref="E69:K69">SUM(E22:E68)</f>
        <v>472834</v>
      </c>
      <c r="F69" s="169">
        <f t="shared" si="3"/>
        <v>454714</v>
      </c>
      <c r="G69" s="169">
        <f t="shared" si="3"/>
        <v>452831</v>
      </c>
      <c r="H69" s="173">
        <f t="shared" si="3"/>
        <v>7773.210000000001</v>
      </c>
      <c r="I69" s="169">
        <f t="shared" si="3"/>
        <v>117727514</v>
      </c>
      <c r="J69" s="169">
        <f t="shared" si="3"/>
        <v>56220321</v>
      </c>
      <c r="K69" s="169">
        <f t="shared" si="3"/>
        <v>138784296</v>
      </c>
      <c r="L69" s="180">
        <f>'財政力指数等'!V67</f>
        <v>0.47</v>
      </c>
      <c r="M69" s="180">
        <f>'財政力指数等'!W67</f>
        <v>0.47</v>
      </c>
      <c r="N69" s="180">
        <f>'財政力指数等'!X67</f>
        <v>0.48</v>
      </c>
      <c r="O69" s="180">
        <f>'財政力指数等'!Y67</f>
        <v>0.47</v>
      </c>
      <c r="P69" s="185">
        <f>'財政力指数等'!AD67</f>
        <v>4.8</v>
      </c>
      <c r="Q69" s="185">
        <f>'経常収支比率'!R66</f>
        <v>90.9</v>
      </c>
      <c r="R69" s="185">
        <f>'経常収支比率'!Q66</f>
        <v>86.3</v>
      </c>
      <c r="S69" s="185">
        <f>'公債費比率'!C67</f>
        <v>12.9</v>
      </c>
      <c r="T69" s="185">
        <f>'公債費比率'!D67</f>
        <v>14.6</v>
      </c>
      <c r="U69" s="185">
        <f>'公債費比率'!E67</f>
        <v>10</v>
      </c>
      <c r="V69" s="185">
        <f>'公債費比率'!G67</f>
        <v>16.1</v>
      </c>
      <c r="W69" s="185">
        <f>'公債費比率'!F67</f>
        <v>15.9</v>
      </c>
      <c r="X69" s="283">
        <f>'将来負担比率'!C67</f>
        <v>98.3</v>
      </c>
      <c r="Y69" s="169">
        <f>SUM(Y22:Y68)</f>
        <v>228199</v>
      </c>
      <c r="Z69" s="185">
        <f>'国調就業'!D65</f>
        <v>14.6</v>
      </c>
      <c r="AA69" s="185">
        <f>'国調就業'!F65</f>
        <v>35.2</v>
      </c>
      <c r="AB69" s="189">
        <f>'国調就業'!H65</f>
        <v>50.1</v>
      </c>
      <c r="AC69" s="109"/>
    </row>
    <row r="70" spans="1:29" ht="19.5" customHeight="1">
      <c r="A70" s="307"/>
      <c r="B70" s="82"/>
      <c r="C70" s="287" t="s">
        <v>152</v>
      </c>
      <c r="D70" s="288"/>
      <c r="E70" s="169">
        <f aca="true" t="shared" si="4" ref="E70:K70">SUM(E21,E69)</f>
        <v>2126935</v>
      </c>
      <c r="F70" s="169">
        <f t="shared" si="4"/>
        <v>2091319</v>
      </c>
      <c r="G70" s="169">
        <f t="shared" si="4"/>
        <v>2075555</v>
      </c>
      <c r="H70" s="173">
        <f t="shared" si="4"/>
        <v>13782.75</v>
      </c>
      <c r="I70" s="169">
        <f t="shared" si="4"/>
        <v>387518441</v>
      </c>
      <c r="J70" s="169">
        <f t="shared" si="4"/>
        <v>239015231</v>
      </c>
      <c r="K70" s="169">
        <f t="shared" si="4"/>
        <v>473785132</v>
      </c>
      <c r="L70" s="180">
        <f>'財政力指数等'!V68</f>
        <v>0.49</v>
      </c>
      <c r="M70" s="180">
        <f>'財政力指数等'!W68</f>
        <v>0.5</v>
      </c>
      <c r="N70" s="180">
        <f>'財政力指数等'!X68</f>
        <v>0.5</v>
      </c>
      <c r="O70" s="180">
        <f>'財政力指数等'!Y68</f>
        <v>0.5</v>
      </c>
      <c r="P70" s="185">
        <f>'財政力指数等'!AD68</f>
        <v>4.8</v>
      </c>
      <c r="Q70" s="185">
        <f>'経常収支比率'!R67</f>
        <v>91.8</v>
      </c>
      <c r="R70" s="185">
        <f>'経常収支比率'!Q67</f>
        <v>87.3</v>
      </c>
      <c r="S70" s="185">
        <f>'公債費比率'!C68</f>
        <v>13.4</v>
      </c>
      <c r="T70" s="185">
        <f>'公債費比率'!D68</f>
        <v>15.3</v>
      </c>
      <c r="U70" s="185">
        <f>'公債費比率'!E68</f>
        <v>10.3</v>
      </c>
      <c r="V70" s="185">
        <f>'公債費比率'!G68</f>
        <v>16.2</v>
      </c>
      <c r="W70" s="185">
        <f>'公債費比率'!F68</f>
        <v>16.1</v>
      </c>
      <c r="X70" s="283">
        <f>'将来負担比率'!C68</f>
        <v>110.7</v>
      </c>
      <c r="Y70" s="169">
        <f>SUM(Y21,Y69)</f>
        <v>1010120</v>
      </c>
      <c r="Z70" s="185">
        <f>'国調就業'!D66</f>
        <v>9.2</v>
      </c>
      <c r="AA70" s="185">
        <f>'国調就業'!F66</f>
        <v>30.7</v>
      </c>
      <c r="AB70" s="189">
        <f>'国調就業'!H66</f>
        <v>60.2</v>
      </c>
      <c r="AC70" s="109"/>
    </row>
    <row r="71" spans="1:7" ht="17.25">
      <c r="A71" s="307"/>
      <c r="B71" s="82"/>
      <c r="G71" s="120"/>
    </row>
    <row r="72" spans="1:7" ht="17.25" customHeight="1">
      <c r="A72" s="247"/>
      <c r="B72" s="82"/>
      <c r="C72" s="108" t="s">
        <v>314</v>
      </c>
      <c r="G72" s="120"/>
    </row>
    <row r="73" spans="1:3" ht="17.25" customHeight="1">
      <c r="A73" s="247"/>
      <c r="C73" s="108" t="s">
        <v>313</v>
      </c>
    </row>
    <row r="74" ht="17.25" customHeight="1"/>
    <row r="75" ht="17.25" customHeight="1"/>
  </sheetData>
  <mergeCells count="29">
    <mergeCell ref="A1:A42"/>
    <mergeCell ref="A43:A71"/>
    <mergeCell ref="Z5:Z6"/>
    <mergeCell ref="AA5:AA6"/>
    <mergeCell ref="K5:K6"/>
    <mergeCell ref="L5:O5"/>
    <mergeCell ref="L6:L7"/>
    <mergeCell ref="M6:M7"/>
    <mergeCell ref="N6:N7"/>
    <mergeCell ref="O6:O7"/>
    <mergeCell ref="AB5:AB6"/>
    <mergeCell ref="V5:W5"/>
    <mergeCell ref="P5:P6"/>
    <mergeCell ref="Q5:Q6"/>
    <mergeCell ref="S5:S6"/>
    <mergeCell ref="U5:U6"/>
    <mergeCell ref="Y5:Y6"/>
    <mergeCell ref="T5:T6"/>
    <mergeCell ref="R5:R6"/>
    <mergeCell ref="X5:X6"/>
    <mergeCell ref="C70:D70"/>
    <mergeCell ref="C5:C7"/>
    <mergeCell ref="D5:D7"/>
    <mergeCell ref="J5:J6"/>
    <mergeCell ref="E5:G5"/>
    <mergeCell ref="C69:D69"/>
    <mergeCell ref="H5:H6"/>
    <mergeCell ref="I5:I6"/>
    <mergeCell ref="C21:D21"/>
  </mergeCells>
  <printOptions/>
  <pageMargins left="0.3937007874015748" right="0.1968503937007874" top="0.74" bottom="0.67" header="0.2362204724409449" footer="0.1968503937007874"/>
  <pageSetup fitToHeight="2"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2"/>
  <dimension ref="A2:F71"/>
  <sheetViews>
    <sheetView workbookViewId="0" topLeftCell="A1">
      <selection activeCell="A1" sqref="A1"/>
    </sheetView>
  </sheetViews>
  <sheetFormatPr defaultColWidth="8.796875" defaultRowHeight="15"/>
  <cols>
    <col min="1" max="1" width="3.19921875" style="122" bestFit="1" customWidth="1"/>
    <col min="5" max="5" width="9.3984375" style="0" bestFit="1" customWidth="1"/>
  </cols>
  <sheetData>
    <row r="2" spans="2:6" ht="17.25">
      <c r="B2" s="226" t="s">
        <v>290</v>
      </c>
      <c r="C2" s="83"/>
      <c r="D2" s="83"/>
      <c r="E2" s="83"/>
      <c r="F2" s="83"/>
    </row>
    <row r="3" spans="2:6" ht="14.25">
      <c r="B3" s="84"/>
      <c r="C3" s="84"/>
      <c r="D3" s="84"/>
      <c r="E3" s="286" t="s">
        <v>298</v>
      </c>
      <c r="F3" s="286"/>
    </row>
    <row r="4" spans="2:6" ht="14.25">
      <c r="B4" s="95" t="s">
        <v>96</v>
      </c>
      <c r="C4" s="311" t="s">
        <v>98</v>
      </c>
      <c r="D4" s="312"/>
      <c r="E4" s="313"/>
      <c r="F4" s="87"/>
    </row>
    <row r="5" spans="2:6" ht="14.25">
      <c r="B5" s="85" t="s">
        <v>74</v>
      </c>
      <c r="C5" s="86"/>
      <c r="D5" s="86"/>
      <c r="E5" s="86"/>
      <c r="F5" s="90"/>
    </row>
    <row r="6" spans="2:6" ht="14.25">
      <c r="B6" s="91" t="s">
        <v>96</v>
      </c>
      <c r="C6" s="225" t="s">
        <v>97</v>
      </c>
      <c r="D6" s="225" t="s">
        <v>99</v>
      </c>
      <c r="E6" s="225" t="s">
        <v>100</v>
      </c>
      <c r="F6" s="93"/>
    </row>
    <row r="7" spans="1:6" ht="14.25">
      <c r="A7" s="122">
        <v>1</v>
      </c>
      <c r="B7" s="85" t="s">
        <v>171</v>
      </c>
      <c r="C7" s="86">
        <v>138290</v>
      </c>
      <c r="D7" s="86">
        <v>148474</v>
      </c>
      <c r="E7" s="86">
        <f aca="true" t="shared" si="0" ref="E7:E19">C7+D7</f>
        <v>286764</v>
      </c>
      <c r="F7" s="94"/>
    </row>
    <row r="8" spans="1:6" ht="14.25">
      <c r="A8" s="122">
        <v>2</v>
      </c>
      <c r="B8" s="85" t="s">
        <v>172</v>
      </c>
      <c r="C8" s="86">
        <v>61199</v>
      </c>
      <c r="D8" s="86">
        <v>67205</v>
      </c>
      <c r="E8" s="86">
        <f t="shared" si="0"/>
        <v>128404</v>
      </c>
      <c r="F8" s="94"/>
    </row>
    <row r="9" spans="1:6" ht="14.25">
      <c r="A9" s="122">
        <v>3</v>
      </c>
      <c r="B9" s="85" t="s">
        <v>173</v>
      </c>
      <c r="C9" s="86">
        <v>163490</v>
      </c>
      <c r="D9" s="86">
        <v>170914</v>
      </c>
      <c r="E9" s="86">
        <f t="shared" si="0"/>
        <v>334404</v>
      </c>
      <c r="F9" s="94"/>
    </row>
    <row r="10" spans="1:6" ht="14.25">
      <c r="A10" s="122">
        <v>4</v>
      </c>
      <c r="B10" s="85" t="s">
        <v>174</v>
      </c>
      <c r="C10" s="86">
        <v>172680</v>
      </c>
      <c r="D10" s="86">
        <v>181684</v>
      </c>
      <c r="E10" s="86">
        <f t="shared" si="0"/>
        <v>354364</v>
      </c>
      <c r="F10" s="94"/>
    </row>
    <row r="11" spans="1:6" ht="14.25">
      <c r="A11" s="122">
        <v>5</v>
      </c>
      <c r="B11" s="85" t="s">
        <v>175</v>
      </c>
      <c r="C11" s="86">
        <v>32322</v>
      </c>
      <c r="D11" s="86">
        <v>33189</v>
      </c>
      <c r="E11" s="86">
        <f t="shared" si="0"/>
        <v>65511</v>
      </c>
      <c r="F11" s="94"/>
    </row>
    <row r="12" spans="1:6" ht="14.25">
      <c r="A12" s="122">
        <v>6</v>
      </c>
      <c r="B12" s="85" t="s">
        <v>176</v>
      </c>
      <c r="C12" s="86">
        <v>39533</v>
      </c>
      <c r="D12" s="86">
        <v>41189</v>
      </c>
      <c r="E12" s="86">
        <f t="shared" si="0"/>
        <v>80722</v>
      </c>
      <c r="F12" s="94"/>
    </row>
    <row r="13" spans="1:6" ht="14.25">
      <c r="A13" s="122">
        <v>7</v>
      </c>
      <c r="B13" s="85" t="s">
        <v>177</v>
      </c>
      <c r="C13" s="86">
        <v>26162</v>
      </c>
      <c r="D13" s="86">
        <v>28631</v>
      </c>
      <c r="E13" s="86">
        <f t="shared" si="0"/>
        <v>54793</v>
      </c>
      <c r="F13" s="94"/>
    </row>
    <row r="14" spans="1:6" ht="14.25">
      <c r="A14" s="122">
        <v>8</v>
      </c>
      <c r="B14" s="85" t="s">
        <v>178</v>
      </c>
      <c r="C14" s="86">
        <v>18954</v>
      </c>
      <c r="D14" s="86">
        <v>19929</v>
      </c>
      <c r="E14" s="86">
        <f t="shared" si="0"/>
        <v>38883</v>
      </c>
      <c r="F14" s="94"/>
    </row>
    <row r="15" spans="1:6" ht="14.25">
      <c r="A15" s="122">
        <v>9</v>
      </c>
      <c r="B15" s="85" t="s">
        <v>179</v>
      </c>
      <c r="C15" s="86">
        <v>30696</v>
      </c>
      <c r="D15" s="86">
        <v>31995</v>
      </c>
      <c r="E15" s="86">
        <f t="shared" si="0"/>
        <v>62691</v>
      </c>
      <c r="F15" s="94"/>
    </row>
    <row r="16" spans="1:6" ht="14.25">
      <c r="A16" s="122">
        <v>10</v>
      </c>
      <c r="B16" s="85" t="s">
        <v>180</v>
      </c>
      <c r="C16" s="86">
        <v>21105</v>
      </c>
      <c r="D16" s="86">
        <v>21992</v>
      </c>
      <c r="E16" s="86">
        <f t="shared" si="0"/>
        <v>43097</v>
      </c>
      <c r="F16" s="94"/>
    </row>
    <row r="17" spans="1:6" ht="14.25">
      <c r="A17" s="122">
        <v>11</v>
      </c>
      <c r="B17" s="86" t="s">
        <v>181</v>
      </c>
      <c r="C17" s="86">
        <v>35200</v>
      </c>
      <c r="D17" s="86">
        <v>37218</v>
      </c>
      <c r="E17" s="86">
        <f t="shared" si="0"/>
        <v>72418</v>
      </c>
      <c r="F17" s="94"/>
    </row>
    <row r="18" spans="1:6" ht="14.25">
      <c r="A18" s="122">
        <v>12</v>
      </c>
      <c r="B18" s="86" t="s">
        <v>182</v>
      </c>
      <c r="C18" s="86">
        <v>33646</v>
      </c>
      <c r="D18" s="86">
        <v>35293</v>
      </c>
      <c r="E18" s="86">
        <f t="shared" si="0"/>
        <v>68939</v>
      </c>
      <c r="F18" s="94"/>
    </row>
    <row r="19" spans="1:6" ht="14.25">
      <c r="A19" s="122">
        <v>13</v>
      </c>
      <c r="B19" s="86" t="s">
        <v>285</v>
      </c>
      <c r="C19" s="86">
        <v>15579</v>
      </c>
      <c r="D19" s="86">
        <v>16155</v>
      </c>
      <c r="E19" s="86">
        <f t="shared" si="0"/>
        <v>31734</v>
      </c>
      <c r="F19" s="94"/>
    </row>
    <row r="20" spans="2:6" ht="14.25">
      <c r="B20" s="89" t="s">
        <v>9</v>
      </c>
      <c r="C20" s="86">
        <f>SUM(C7:C18)</f>
        <v>773277</v>
      </c>
      <c r="D20" s="86">
        <f>SUM(D7:D18)</f>
        <v>817713</v>
      </c>
      <c r="E20" s="86">
        <f>SUM(E7:E19)</f>
        <v>1622724</v>
      </c>
      <c r="F20" s="94"/>
    </row>
    <row r="21" spans="2:6" ht="14.25">
      <c r="B21" s="86"/>
      <c r="C21" s="86"/>
      <c r="D21" s="86"/>
      <c r="E21" s="86"/>
      <c r="F21" s="94"/>
    </row>
    <row r="22" spans="1:6" ht="14.25">
      <c r="A22" s="122">
        <v>14</v>
      </c>
      <c r="B22" s="85" t="s">
        <v>183</v>
      </c>
      <c r="C22" s="86">
        <v>6439</v>
      </c>
      <c r="D22" s="86">
        <v>7030</v>
      </c>
      <c r="E22" s="86">
        <f aca="true" t="shared" si="1" ref="E22:E54">C22+D22</f>
        <v>13469</v>
      </c>
      <c r="F22" s="94"/>
    </row>
    <row r="23" spans="1:6" ht="14.25">
      <c r="A23" s="122">
        <v>15</v>
      </c>
      <c r="B23" s="85" t="s">
        <v>184</v>
      </c>
      <c r="C23" s="86">
        <v>5112</v>
      </c>
      <c r="D23" s="86">
        <v>5514</v>
      </c>
      <c r="E23" s="86">
        <f t="shared" si="1"/>
        <v>10626</v>
      </c>
      <c r="F23" s="94"/>
    </row>
    <row r="24" spans="1:6" ht="14.25">
      <c r="A24" s="122">
        <v>16</v>
      </c>
      <c r="B24" s="85" t="s">
        <v>185</v>
      </c>
      <c r="C24" s="86">
        <v>8216</v>
      </c>
      <c r="D24" s="86">
        <v>8399</v>
      </c>
      <c r="E24" s="86">
        <f t="shared" si="1"/>
        <v>16615</v>
      </c>
      <c r="F24" s="94"/>
    </row>
    <row r="25" spans="1:6" ht="14.25">
      <c r="A25" s="122">
        <v>17</v>
      </c>
      <c r="B25" s="85" t="s">
        <v>186</v>
      </c>
      <c r="C25" s="86">
        <v>3186</v>
      </c>
      <c r="D25" s="86">
        <v>3272</v>
      </c>
      <c r="E25" s="86">
        <f t="shared" si="1"/>
        <v>6458</v>
      </c>
      <c r="F25" s="94"/>
    </row>
    <row r="26" spans="1:6" ht="14.25">
      <c r="A26" s="122">
        <v>18</v>
      </c>
      <c r="B26" s="85" t="s">
        <v>187</v>
      </c>
      <c r="C26" s="86">
        <v>4247</v>
      </c>
      <c r="D26" s="86">
        <v>4332</v>
      </c>
      <c r="E26" s="86">
        <f t="shared" si="1"/>
        <v>8579</v>
      </c>
      <c r="F26" s="94"/>
    </row>
    <row r="27" spans="1:6" ht="14.25">
      <c r="A27" s="122">
        <v>19</v>
      </c>
      <c r="B27" s="85" t="s">
        <v>188</v>
      </c>
      <c r="C27" s="86">
        <v>6367</v>
      </c>
      <c r="D27" s="86">
        <v>6580</v>
      </c>
      <c r="E27" s="86">
        <f t="shared" si="1"/>
        <v>12947</v>
      </c>
      <c r="F27" s="94"/>
    </row>
    <row r="28" spans="1:6" ht="14.25">
      <c r="A28" s="122">
        <v>20</v>
      </c>
      <c r="B28" s="85" t="s">
        <v>189</v>
      </c>
      <c r="C28" s="86">
        <v>3252</v>
      </c>
      <c r="D28" s="86">
        <v>3377</v>
      </c>
      <c r="E28" s="86">
        <f t="shared" si="1"/>
        <v>6629</v>
      </c>
      <c r="F28" s="94"/>
    </row>
    <row r="29" spans="1:6" ht="14.25">
      <c r="A29" s="122">
        <v>21</v>
      </c>
      <c r="B29" s="85" t="s">
        <v>190</v>
      </c>
      <c r="C29" s="86">
        <v>3433</v>
      </c>
      <c r="D29" s="86">
        <v>3596</v>
      </c>
      <c r="E29" s="86">
        <f t="shared" si="1"/>
        <v>7029</v>
      </c>
      <c r="F29" s="94"/>
    </row>
    <row r="30" spans="1:6" ht="14.25">
      <c r="A30" s="122">
        <v>22</v>
      </c>
      <c r="B30" s="85" t="s">
        <v>191</v>
      </c>
      <c r="C30" s="86">
        <v>311</v>
      </c>
      <c r="D30" s="86">
        <v>311</v>
      </c>
      <c r="E30" s="86">
        <f t="shared" si="1"/>
        <v>622</v>
      </c>
      <c r="F30" s="94"/>
    </row>
    <row r="31" spans="1:6" ht="14.25">
      <c r="A31" s="122">
        <v>23</v>
      </c>
      <c r="B31" s="85" t="s">
        <v>192</v>
      </c>
      <c r="C31" s="86">
        <v>2512</v>
      </c>
      <c r="D31" s="86">
        <v>2731</v>
      </c>
      <c r="E31" s="86">
        <f t="shared" si="1"/>
        <v>5243</v>
      </c>
      <c r="F31" s="94"/>
    </row>
    <row r="32" spans="1:6" ht="14.25">
      <c r="A32" s="122">
        <v>24</v>
      </c>
      <c r="B32" s="85" t="s">
        <v>193</v>
      </c>
      <c r="C32" s="86">
        <v>9396</v>
      </c>
      <c r="D32" s="86">
        <v>9913</v>
      </c>
      <c r="E32" s="86">
        <f t="shared" si="1"/>
        <v>19309</v>
      </c>
      <c r="F32" s="94"/>
    </row>
    <row r="33" spans="1:6" ht="14.25">
      <c r="A33" s="122">
        <v>25</v>
      </c>
      <c r="B33" s="85" t="s">
        <v>194</v>
      </c>
      <c r="C33" s="86">
        <v>1664</v>
      </c>
      <c r="D33" s="86">
        <v>1702</v>
      </c>
      <c r="E33" s="86">
        <f t="shared" si="1"/>
        <v>3366</v>
      </c>
      <c r="F33" s="94"/>
    </row>
    <row r="34" spans="1:6" ht="14.25">
      <c r="A34" s="122">
        <v>26</v>
      </c>
      <c r="B34" s="85" t="s">
        <v>195</v>
      </c>
      <c r="C34" s="86">
        <v>3950</v>
      </c>
      <c r="D34" s="86">
        <v>4249</v>
      </c>
      <c r="E34" s="86">
        <f t="shared" si="1"/>
        <v>8199</v>
      </c>
      <c r="F34" s="94"/>
    </row>
    <row r="35" spans="1:6" ht="14.25">
      <c r="A35" s="122">
        <v>27</v>
      </c>
      <c r="B35" s="85" t="s">
        <v>196</v>
      </c>
      <c r="C35" s="86">
        <v>1884</v>
      </c>
      <c r="D35" s="86">
        <v>2030</v>
      </c>
      <c r="E35" s="86">
        <f t="shared" si="1"/>
        <v>3914</v>
      </c>
      <c r="F35" s="94"/>
    </row>
    <row r="36" spans="1:6" ht="14.25">
      <c r="A36" s="122">
        <v>28</v>
      </c>
      <c r="B36" s="85" t="s">
        <v>197</v>
      </c>
      <c r="C36" s="86">
        <v>8041</v>
      </c>
      <c r="D36" s="86">
        <v>8679</v>
      </c>
      <c r="E36" s="86">
        <f t="shared" si="1"/>
        <v>16720</v>
      </c>
      <c r="F36" s="94"/>
    </row>
    <row r="37" spans="1:6" ht="14.25">
      <c r="A37" s="122">
        <v>29</v>
      </c>
      <c r="B37" s="85" t="s">
        <v>198</v>
      </c>
      <c r="C37" s="86">
        <v>8782</v>
      </c>
      <c r="D37" s="86">
        <v>9457</v>
      </c>
      <c r="E37" s="86">
        <f t="shared" si="1"/>
        <v>18239</v>
      </c>
      <c r="F37" s="94"/>
    </row>
    <row r="38" spans="1:6" ht="14.25">
      <c r="A38" s="122">
        <v>30</v>
      </c>
      <c r="B38" s="85" t="s">
        <v>199</v>
      </c>
      <c r="C38" s="86">
        <v>1734</v>
      </c>
      <c r="D38" s="86">
        <v>1908</v>
      </c>
      <c r="E38" s="86">
        <f t="shared" si="1"/>
        <v>3642</v>
      </c>
      <c r="F38" s="94"/>
    </row>
    <row r="39" spans="1:6" ht="14.25">
      <c r="A39" s="122">
        <v>31</v>
      </c>
      <c r="B39" s="85" t="s">
        <v>200</v>
      </c>
      <c r="C39" s="86">
        <v>2126</v>
      </c>
      <c r="D39" s="86">
        <v>2214</v>
      </c>
      <c r="E39" s="86">
        <f>C39+D39</f>
        <v>4340</v>
      </c>
      <c r="F39" s="94"/>
    </row>
    <row r="40" spans="1:6" ht="14.25">
      <c r="A40" s="122">
        <v>32</v>
      </c>
      <c r="B40" s="85" t="s">
        <v>201</v>
      </c>
      <c r="C40" s="86">
        <v>1019</v>
      </c>
      <c r="D40" s="86">
        <v>1148</v>
      </c>
      <c r="E40" s="86">
        <f>C40+D40</f>
        <v>2167</v>
      </c>
      <c r="F40" s="94"/>
    </row>
    <row r="41" spans="1:6" ht="14.25">
      <c r="A41" s="122">
        <v>33</v>
      </c>
      <c r="B41" s="85" t="s">
        <v>202</v>
      </c>
      <c r="C41" s="86">
        <v>1291</v>
      </c>
      <c r="D41" s="86">
        <v>1455</v>
      </c>
      <c r="E41" s="86">
        <f>C41+D41</f>
        <v>2746</v>
      </c>
      <c r="F41" s="94"/>
    </row>
    <row r="42" spans="1:6" ht="14.25">
      <c r="A42" s="122">
        <v>34</v>
      </c>
      <c r="B42" s="85" t="s">
        <v>203</v>
      </c>
      <c r="C42" s="86">
        <v>812</v>
      </c>
      <c r="D42" s="86">
        <v>841</v>
      </c>
      <c r="E42" s="86">
        <f>C42+D42</f>
        <v>1653</v>
      </c>
      <c r="F42" s="94"/>
    </row>
    <row r="43" spans="1:6" ht="14.25">
      <c r="A43" s="122">
        <v>35</v>
      </c>
      <c r="B43" s="85" t="s">
        <v>204</v>
      </c>
      <c r="C43" s="86">
        <v>11836</v>
      </c>
      <c r="D43" s="86">
        <v>12732</v>
      </c>
      <c r="E43" s="86">
        <f>C43+D43</f>
        <v>24568</v>
      </c>
      <c r="F43" s="94"/>
    </row>
    <row r="44" spans="1:6" ht="14.25">
      <c r="A44" s="122">
        <v>36</v>
      </c>
      <c r="B44" s="85" t="s">
        <v>205</v>
      </c>
      <c r="C44" s="86">
        <v>9883</v>
      </c>
      <c r="D44" s="86">
        <v>9763</v>
      </c>
      <c r="E44" s="86">
        <f t="shared" si="1"/>
        <v>19646</v>
      </c>
      <c r="F44" s="94"/>
    </row>
    <row r="45" spans="1:6" ht="14.25">
      <c r="A45" s="122">
        <v>37</v>
      </c>
      <c r="B45" s="85" t="s">
        <v>206</v>
      </c>
      <c r="C45" s="86">
        <v>3470</v>
      </c>
      <c r="D45" s="86">
        <v>3543</v>
      </c>
      <c r="E45" s="86">
        <f t="shared" si="1"/>
        <v>7013</v>
      </c>
      <c r="F45" s="94"/>
    </row>
    <row r="46" spans="1:6" ht="14.25">
      <c r="A46" s="122">
        <v>38</v>
      </c>
      <c r="B46" s="85" t="s">
        <v>207</v>
      </c>
      <c r="C46" s="86">
        <v>2675</v>
      </c>
      <c r="D46" s="86">
        <v>2699</v>
      </c>
      <c r="E46" s="86">
        <f t="shared" si="1"/>
        <v>5374</v>
      </c>
      <c r="F46" s="94"/>
    </row>
    <row r="47" spans="1:6" ht="14.25">
      <c r="A47" s="122">
        <v>39</v>
      </c>
      <c r="B47" s="85" t="s">
        <v>208</v>
      </c>
      <c r="C47" s="86">
        <v>9140</v>
      </c>
      <c r="D47" s="86">
        <v>9136</v>
      </c>
      <c r="E47" s="86">
        <f t="shared" si="1"/>
        <v>18276</v>
      </c>
      <c r="F47" s="94"/>
    </row>
    <row r="48" spans="1:6" ht="14.25">
      <c r="A48" s="122">
        <v>40</v>
      </c>
      <c r="B48" s="85" t="s">
        <v>209</v>
      </c>
      <c r="C48" s="86">
        <v>7701</v>
      </c>
      <c r="D48" s="86">
        <v>7938</v>
      </c>
      <c r="E48" s="86">
        <f t="shared" si="1"/>
        <v>15639</v>
      </c>
      <c r="F48" s="94"/>
    </row>
    <row r="49" spans="1:6" ht="14.25">
      <c r="A49" s="122">
        <v>41</v>
      </c>
      <c r="B49" s="85" t="s">
        <v>210</v>
      </c>
      <c r="C49" s="86">
        <v>3296</v>
      </c>
      <c r="D49" s="86">
        <v>3473</v>
      </c>
      <c r="E49" s="86">
        <f t="shared" si="1"/>
        <v>6769</v>
      </c>
      <c r="F49" s="94"/>
    </row>
    <row r="50" spans="1:6" ht="14.25">
      <c r="A50" s="122">
        <v>42</v>
      </c>
      <c r="B50" s="85" t="s">
        <v>211</v>
      </c>
      <c r="C50" s="86">
        <v>5095</v>
      </c>
      <c r="D50" s="86">
        <v>5254</v>
      </c>
      <c r="E50" s="86">
        <f t="shared" si="1"/>
        <v>10349</v>
      </c>
      <c r="F50" s="94"/>
    </row>
    <row r="51" spans="1:6" ht="14.25">
      <c r="A51" s="122">
        <v>43</v>
      </c>
      <c r="B51" s="85" t="s">
        <v>212</v>
      </c>
      <c r="C51" s="86">
        <v>2120</v>
      </c>
      <c r="D51" s="86">
        <v>2172</v>
      </c>
      <c r="E51" s="86">
        <f t="shared" si="1"/>
        <v>4292</v>
      </c>
      <c r="F51" s="94"/>
    </row>
    <row r="52" spans="1:6" ht="14.25">
      <c r="A52" s="122">
        <v>44</v>
      </c>
      <c r="B52" s="85" t="s">
        <v>213</v>
      </c>
      <c r="C52" s="86">
        <v>8880</v>
      </c>
      <c r="D52" s="86">
        <v>9323</v>
      </c>
      <c r="E52" s="86">
        <f t="shared" si="1"/>
        <v>18203</v>
      </c>
      <c r="F52" s="94"/>
    </row>
    <row r="53" spans="1:6" ht="14.25">
      <c r="A53" s="122">
        <v>45</v>
      </c>
      <c r="B53" s="85" t="s">
        <v>214</v>
      </c>
      <c r="C53" s="86">
        <v>3755</v>
      </c>
      <c r="D53" s="86">
        <v>3780</v>
      </c>
      <c r="E53" s="86">
        <f t="shared" si="1"/>
        <v>7535</v>
      </c>
      <c r="F53" s="94"/>
    </row>
    <row r="54" spans="1:6" ht="14.25">
      <c r="A54" s="122">
        <v>46</v>
      </c>
      <c r="B54" s="85" t="s">
        <v>215</v>
      </c>
      <c r="C54" s="86">
        <v>3704</v>
      </c>
      <c r="D54" s="86">
        <v>3631</v>
      </c>
      <c r="E54" s="86">
        <f t="shared" si="1"/>
        <v>7335</v>
      </c>
      <c r="F54" s="94"/>
    </row>
    <row r="55" spans="1:6" ht="14.25">
      <c r="A55" s="122">
        <v>47</v>
      </c>
      <c r="B55" s="85" t="s">
        <v>216</v>
      </c>
      <c r="C55" s="86">
        <v>3612</v>
      </c>
      <c r="D55" s="86">
        <v>3640</v>
      </c>
      <c r="E55" s="86">
        <f aca="true" t="shared" si="2" ref="E55:E68">C55+D55</f>
        <v>7252</v>
      </c>
      <c r="F55" s="94"/>
    </row>
    <row r="56" spans="1:6" ht="14.25">
      <c r="A56" s="122">
        <v>48</v>
      </c>
      <c r="B56" s="85" t="s">
        <v>217</v>
      </c>
      <c r="C56" s="86">
        <v>3222</v>
      </c>
      <c r="D56" s="86">
        <v>3277</v>
      </c>
      <c r="E56" s="86">
        <f t="shared" si="2"/>
        <v>6499</v>
      </c>
      <c r="F56" s="94"/>
    </row>
    <row r="57" spans="1:6" ht="14.25">
      <c r="A57" s="122">
        <v>49</v>
      </c>
      <c r="B57" s="85" t="s">
        <v>218</v>
      </c>
      <c r="C57" s="86">
        <v>9430</v>
      </c>
      <c r="D57" s="86">
        <v>9929</v>
      </c>
      <c r="E57" s="86">
        <f t="shared" si="2"/>
        <v>19359</v>
      </c>
      <c r="F57" s="94"/>
    </row>
    <row r="58" spans="1:6" ht="14.25">
      <c r="A58" s="122">
        <v>50</v>
      </c>
      <c r="B58" s="85" t="s">
        <v>219</v>
      </c>
      <c r="C58" s="86">
        <v>5853</v>
      </c>
      <c r="D58" s="86">
        <v>6156</v>
      </c>
      <c r="E58" s="86">
        <f t="shared" si="2"/>
        <v>12009</v>
      </c>
      <c r="F58" s="94"/>
    </row>
    <row r="59" spans="1:6" ht="14.25">
      <c r="A59" s="122">
        <v>51</v>
      </c>
      <c r="B59" s="85" t="s">
        <v>220</v>
      </c>
      <c r="C59" s="86">
        <v>2745</v>
      </c>
      <c r="D59" s="86">
        <v>2804</v>
      </c>
      <c r="E59" s="86">
        <f t="shared" si="2"/>
        <v>5549</v>
      </c>
      <c r="F59" s="94"/>
    </row>
    <row r="60" spans="1:6" ht="14.25">
      <c r="A60" s="122">
        <v>52</v>
      </c>
      <c r="B60" s="85" t="s">
        <v>221</v>
      </c>
      <c r="C60" s="86">
        <v>4044</v>
      </c>
      <c r="D60" s="86">
        <v>4149</v>
      </c>
      <c r="E60" s="86">
        <f t="shared" si="2"/>
        <v>8193</v>
      </c>
      <c r="F60" s="94"/>
    </row>
    <row r="61" spans="1:6" ht="14.25">
      <c r="A61" s="122">
        <v>53</v>
      </c>
      <c r="B61" s="85" t="s">
        <v>222</v>
      </c>
      <c r="C61" s="86">
        <v>8028</v>
      </c>
      <c r="D61" s="86">
        <v>7903</v>
      </c>
      <c r="E61" s="86">
        <f t="shared" si="2"/>
        <v>15931</v>
      </c>
      <c r="F61" s="94"/>
    </row>
    <row r="62" spans="1:6" ht="14.25">
      <c r="A62" s="122">
        <v>54</v>
      </c>
      <c r="B62" s="85" t="s">
        <v>223</v>
      </c>
      <c r="C62" s="86">
        <v>1645</v>
      </c>
      <c r="D62" s="86">
        <v>1568</v>
      </c>
      <c r="E62" s="86">
        <f t="shared" si="2"/>
        <v>3213</v>
      </c>
      <c r="F62" s="94"/>
    </row>
    <row r="63" spans="1:6" ht="14.25">
      <c r="A63" s="122">
        <v>55</v>
      </c>
      <c r="B63" s="85" t="s">
        <v>224</v>
      </c>
      <c r="C63" s="86">
        <v>5518</v>
      </c>
      <c r="D63" s="86">
        <v>5563</v>
      </c>
      <c r="E63" s="86">
        <f t="shared" si="2"/>
        <v>11081</v>
      </c>
      <c r="F63" s="94"/>
    </row>
    <row r="64" spans="1:6" ht="14.25">
      <c r="A64" s="122">
        <v>56</v>
      </c>
      <c r="B64" s="85" t="s">
        <v>225</v>
      </c>
      <c r="C64" s="86">
        <v>3598</v>
      </c>
      <c r="D64" s="86">
        <v>3708</v>
      </c>
      <c r="E64" s="86">
        <f t="shared" si="2"/>
        <v>7306</v>
      </c>
      <c r="F64" s="94"/>
    </row>
    <row r="65" spans="1:6" ht="14.25">
      <c r="A65" s="122">
        <v>57</v>
      </c>
      <c r="B65" s="85" t="s">
        <v>226</v>
      </c>
      <c r="C65" s="86">
        <v>10775</v>
      </c>
      <c r="D65" s="86">
        <v>11158</v>
      </c>
      <c r="E65" s="86">
        <f t="shared" si="2"/>
        <v>21933</v>
      </c>
      <c r="F65" s="94"/>
    </row>
    <row r="66" spans="1:6" ht="14.25">
      <c r="A66" s="122">
        <v>58</v>
      </c>
      <c r="B66" s="85" t="s">
        <v>227</v>
      </c>
      <c r="C66" s="86">
        <v>868</v>
      </c>
      <c r="D66" s="86">
        <v>772</v>
      </c>
      <c r="E66" s="86">
        <f t="shared" si="2"/>
        <v>1640</v>
      </c>
      <c r="F66" s="94"/>
    </row>
    <row r="67" spans="1:6" ht="14.25">
      <c r="A67" s="122">
        <v>59</v>
      </c>
      <c r="B67" s="85" t="s">
        <v>228</v>
      </c>
      <c r="C67" s="86">
        <v>4218</v>
      </c>
      <c r="D67" s="86">
        <v>4373</v>
      </c>
      <c r="E67" s="86">
        <f t="shared" si="2"/>
        <v>8591</v>
      </c>
      <c r="F67" s="94"/>
    </row>
    <row r="68" spans="1:6" ht="14.25">
      <c r="A68" s="122">
        <v>60</v>
      </c>
      <c r="B68" s="85" t="s">
        <v>229</v>
      </c>
      <c r="C68" s="86">
        <v>3384</v>
      </c>
      <c r="D68" s="86">
        <v>3380</v>
      </c>
      <c r="E68" s="86">
        <f t="shared" si="2"/>
        <v>6764</v>
      </c>
      <c r="F68" s="94"/>
    </row>
    <row r="69" spans="1:6" ht="14.25">
      <c r="A69" s="86"/>
      <c r="B69" s="89" t="s">
        <v>64</v>
      </c>
      <c r="C69" s="86">
        <f>SUM(C22:C68)</f>
        <v>222269</v>
      </c>
      <c r="D69" s="86">
        <f>SUM(D22:D68)</f>
        <v>230562</v>
      </c>
      <c r="E69" s="86">
        <f>SUM(E22:E68)</f>
        <v>452831</v>
      </c>
      <c r="F69" s="94"/>
    </row>
    <row r="70" spans="1:6" ht="14.25">
      <c r="A70" s="86"/>
      <c r="B70" s="86"/>
      <c r="C70" s="86"/>
      <c r="D70" s="86"/>
      <c r="E70" s="86"/>
      <c r="F70" s="94"/>
    </row>
    <row r="71" spans="1:6" ht="14.25">
      <c r="A71" s="83"/>
      <c r="B71" s="92" t="s">
        <v>67</v>
      </c>
      <c r="C71" s="88">
        <f>C20+C69</f>
        <v>995546</v>
      </c>
      <c r="D71" s="88">
        <f>D20+D69</f>
        <v>1048275</v>
      </c>
      <c r="E71" s="88">
        <f>E20+E69</f>
        <v>2075555</v>
      </c>
      <c r="F71" s="93"/>
    </row>
  </sheetData>
  <mergeCells count="2">
    <mergeCell ref="C4:E4"/>
    <mergeCell ref="E3:F3"/>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1:CE84"/>
  <sheetViews>
    <sheetView view="pageBreakPreview" zoomScale="80" zoomScaleSheetLayoutView="80" workbookViewId="0" topLeftCell="N1">
      <pane xSplit="5" ySplit="6" topLeftCell="S49" activePane="bottomRight" state="frozen"/>
      <selection pane="topLeft" activeCell="A1" sqref="A1"/>
      <selection pane="topRight" activeCell="A1" sqref="A1"/>
      <selection pane="bottomLeft" activeCell="A1" sqref="A1"/>
      <selection pane="bottomRight" activeCell="A1" sqref="A1"/>
    </sheetView>
  </sheetViews>
  <sheetFormatPr defaultColWidth="12" defaultRowHeight="15"/>
  <cols>
    <col min="1" max="1" width="2.59765625" style="1" customWidth="1"/>
    <col min="2" max="2" width="4.59765625" style="1" customWidth="1"/>
    <col min="3" max="3" width="13.59765625" style="1" customWidth="1"/>
    <col min="4" max="6" width="19.59765625" style="1" customWidth="1"/>
    <col min="7" max="7" width="9.19921875" style="1" customWidth="1"/>
    <col min="8" max="8" width="4.59765625" style="1" customWidth="1"/>
    <col min="9" max="9" width="13.59765625" style="1" customWidth="1"/>
    <col min="10" max="12" width="19.59765625" style="1" customWidth="1"/>
    <col min="13" max="13" width="12" style="1" customWidth="1"/>
    <col min="14" max="14" width="4" style="1" customWidth="1"/>
    <col min="15" max="15" width="12.3984375" style="1" customWidth="1"/>
    <col min="16" max="20" width="12.59765625" style="1" customWidth="1"/>
    <col min="21" max="21" width="12.59765625" style="81" customWidth="1"/>
    <col min="22" max="30" width="12.59765625" style="1" customWidth="1"/>
    <col min="31" max="31" width="12.59765625" style="123" customWidth="1"/>
    <col min="32" max="32" width="12.59765625" style="1" customWidth="1"/>
    <col min="33" max="33" width="14.3984375" style="1" customWidth="1"/>
    <col min="34" max="34" width="7.19921875" style="1" customWidth="1"/>
    <col min="35" max="35" width="14.3984375" style="1" customWidth="1"/>
    <col min="36" max="36" width="12" style="1" customWidth="1"/>
    <col min="37" max="37" width="14.3984375" style="1" customWidth="1"/>
    <col min="38" max="38" width="7.19921875" style="1" customWidth="1"/>
    <col min="39" max="39" width="14.3984375" style="1" customWidth="1"/>
    <col min="40" max="40" width="12" style="1" customWidth="1"/>
    <col min="41" max="41" width="14.3984375" style="1" customWidth="1"/>
    <col min="42" max="42" width="7.19921875" style="1" customWidth="1"/>
    <col min="43" max="43" width="14.3984375" style="1" customWidth="1"/>
    <col min="44" max="44" width="12" style="1" customWidth="1"/>
    <col min="45" max="45" width="14.3984375" style="1" customWidth="1"/>
    <col min="46" max="46" width="7.19921875" style="1" customWidth="1"/>
    <col min="47" max="47" width="14.3984375" style="1" customWidth="1"/>
    <col min="48" max="48" width="12" style="1" customWidth="1"/>
    <col min="49" max="49" width="14.3984375" style="1" customWidth="1"/>
    <col min="50" max="50" width="7.19921875" style="1" customWidth="1"/>
    <col min="51" max="51" width="14.3984375" style="1" customWidth="1"/>
    <col min="52" max="52" width="12" style="1" customWidth="1"/>
    <col min="53" max="53" width="14.3984375" style="1" customWidth="1"/>
    <col min="54" max="54" width="7.19921875" style="1" customWidth="1"/>
    <col min="55" max="55" width="14.3984375" style="1" customWidth="1"/>
    <col min="56" max="56" width="12" style="1" customWidth="1"/>
    <col min="57" max="57" width="14.3984375" style="1" customWidth="1"/>
    <col min="58" max="58" width="7.19921875" style="1" customWidth="1"/>
    <col min="59" max="59" width="14.3984375" style="1" customWidth="1"/>
    <col min="60" max="60" width="12" style="1" customWidth="1"/>
    <col min="61" max="61" width="14.3984375" style="1" customWidth="1"/>
    <col min="62" max="62" width="7.19921875" style="1" customWidth="1"/>
    <col min="63" max="63" width="14.3984375" style="1" customWidth="1"/>
    <col min="64" max="64" width="12" style="1" customWidth="1"/>
    <col min="65" max="65" width="14.3984375" style="1" customWidth="1"/>
    <col min="66" max="66" width="7.19921875" style="1" customWidth="1"/>
    <col min="67" max="67" width="14.3984375" style="1" customWidth="1"/>
    <col min="68" max="68" width="12" style="1" customWidth="1"/>
    <col min="69" max="69" width="14.3984375" style="1" customWidth="1"/>
    <col min="70" max="70" width="7.19921875" style="1" customWidth="1"/>
    <col min="71" max="71" width="14.3984375" style="1" customWidth="1"/>
    <col min="72" max="72" width="12" style="1" customWidth="1"/>
    <col min="73" max="73" width="14.3984375" style="1" customWidth="1"/>
    <col min="74" max="74" width="7.19921875" style="1" customWidth="1"/>
    <col min="75" max="75" width="14.3984375" style="1" customWidth="1"/>
    <col min="76" max="76" width="12" style="1" customWidth="1"/>
    <col min="77" max="77" width="14.3984375" style="1" customWidth="1"/>
    <col min="78" max="78" width="7.19921875" style="1" customWidth="1"/>
    <col min="79" max="79" width="14.3984375" style="1" customWidth="1"/>
    <col min="80" max="80" width="12" style="1" customWidth="1"/>
    <col min="81" max="82" width="2.3984375" style="1" customWidth="1"/>
    <col min="83" max="83" width="19.19921875" style="1" customWidth="1"/>
    <col min="84" max="84" width="14.3984375" style="1" customWidth="1"/>
    <col min="85" max="85" width="7.19921875" style="1" customWidth="1"/>
    <col min="86" max="86" width="14.3984375" style="1" customWidth="1"/>
    <col min="87" max="87" width="7.19921875" style="1" customWidth="1"/>
    <col min="88" max="88" width="12" style="1" customWidth="1"/>
    <col min="89" max="89" width="14.3984375" style="1" customWidth="1"/>
    <col min="90" max="90" width="7.19921875" style="1" customWidth="1"/>
    <col min="91" max="91" width="14.3984375" style="1" customWidth="1"/>
    <col min="92" max="92" width="7.19921875" style="1" customWidth="1"/>
    <col min="93" max="93" width="12" style="1" customWidth="1"/>
    <col min="94" max="94" width="14.3984375" style="1" customWidth="1"/>
    <col min="95" max="95" width="7.19921875" style="1" customWidth="1"/>
    <col min="96" max="96" width="14.3984375" style="1" customWidth="1"/>
    <col min="97" max="97" width="7.19921875" style="1" customWidth="1"/>
    <col min="98" max="98" width="12" style="1" customWidth="1"/>
    <col min="99" max="99" width="14.3984375" style="1" customWidth="1"/>
    <col min="100" max="101" width="9.59765625" style="1" customWidth="1"/>
    <col min="102" max="102" width="7.19921875" style="1" customWidth="1"/>
    <col min="103" max="103" width="14.3984375" style="1" customWidth="1"/>
    <col min="104" max="104" width="7.19921875" style="1" customWidth="1"/>
    <col min="105" max="252" width="12" style="1" customWidth="1"/>
    <col min="253" max="16384" width="12" style="1" customWidth="1"/>
  </cols>
  <sheetData>
    <row r="1" spans="14:30" ht="12" customHeight="1" thickBot="1">
      <c r="N1" s="2">
        <v>1</v>
      </c>
      <c r="O1" s="196">
        <v>2</v>
      </c>
      <c r="P1" s="2">
        <v>3</v>
      </c>
      <c r="Q1" s="196">
        <v>4</v>
      </c>
      <c r="R1" s="2">
        <v>5</v>
      </c>
      <c r="S1" s="196">
        <v>6</v>
      </c>
      <c r="T1" s="2">
        <v>7</v>
      </c>
      <c r="U1" s="196">
        <v>8</v>
      </c>
      <c r="V1" s="2">
        <v>9</v>
      </c>
      <c r="W1" s="196">
        <v>10</v>
      </c>
      <c r="X1" s="2">
        <v>11</v>
      </c>
      <c r="Y1" s="196">
        <v>12</v>
      </c>
      <c r="Z1" s="2">
        <v>13</v>
      </c>
      <c r="AA1" s="196">
        <v>14</v>
      </c>
      <c r="AB1" s="2">
        <v>15</v>
      </c>
      <c r="AC1" s="196">
        <v>16</v>
      </c>
      <c r="AD1" s="2">
        <v>17</v>
      </c>
    </row>
    <row r="2" spans="2:83" ht="19.5" customHeight="1">
      <c r="B2" s="3" t="s">
        <v>153</v>
      </c>
      <c r="C2" s="3"/>
      <c r="I2" s="4"/>
      <c r="N2" s="5"/>
      <c r="O2" s="231"/>
      <c r="P2" s="318" t="s">
        <v>69</v>
      </c>
      <c r="Q2" s="319"/>
      <c r="R2" s="320"/>
      <c r="S2" s="318" t="s">
        <v>70</v>
      </c>
      <c r="T2" s="319"/>
      <c r="U2" s="320"/>
      <c r="V2" s="318" t="s">
        <v>291</v>
      </c>
      <c r="W2" s="319"/>
      <c r="X2" s="319"/>
      <c r="Y2" s="320"/>
      <c r="Z2" s="232"/>
      <c r="AA2" s="233" t="s">
        <v>71</v>
      </c>
      <c r="AB2" s="234"/>
      <c r="AC2" s="155"/>
      <c r="AD2" s="156"/>
      <c r="AG2" s="4"/>
      <c r="AW2" s="4"/>
      <c r="BM2" s="4"/>
      <c r="CE2" s="4"/>
    </row>
    <row r="3" spans="14:30" ht="15" customHeight="1" thickBot="1">
      <c r="N3" s="6" t="s">
        <v>73</v>
      </c>
      <c r="O3" s="235" t="s">
        <v>74</v>
      </c>
      <c r="P3" s="256" t="s">
        <v>304</v>
      </c>
      <c r="Q3" s="257" t="s">
        <v>289</v>
      </c>
      <c r="R3" s="256" t="s">
        <v>305</v>
      </c>
      <c r="S3" s="258" t="s">
        <v>304</v>
      </c>
      <c r="T3" s="259" t="s">
        <v>289</v>
      </c>
      <c r="U3" s="260" t="s">
        <v>305</v>
      </c>
      <c r="V3" s="261" t="str">
        <f>P3</f>
        <v>平成17年度</v>
      </c>
      <c r="W3" s="262" t="str">
        <f>Q3</f>
        <v>平成18年度</v>
      </c>
      <c r="X3" s="262" t="str">
        <f>R3</f>
        <v>平成19年度</v>
      </c>
      <c r="Y3" s="263" t="s">
        <v>75</v>
      </c>
      <c r="Z3" s="237" t="s">
        <v>76</v>
      </c>
      <c r="AA3" s="238" t="s">
        <v>72</v>
      </c>
      <c r="AB3" s="236" t="s">
        <v>77</v>
      </c>
      <c r="AC3" s="250" t="s">
        <v>101</v>
      </c>
      <c r="AD3" s="251" t="s">
        <v>102</v>
      </c>
    </row>
    <row r="4" spans="2:30" ht="14.25">
      <c r="B4" s="323" t="s">
        <v>74</v>
      </c>
      <c r="C4" s="324"/>
      <c r="D4" s="7" t="s">
        <v>86</v>
      </c>
      <c r="E4" s="8" t="s">
        <v>87</v>
      </c>
      <c r="F4" s="9" t="s">
        <v>78</v>
      </c>
      <c r="G4" s="10"/>
      <c r="H4" s="323" t="s">
        <v>74</v>
      </c>
      <c r="I4" s="324"/>
      <c r="J4" s="7" t="s">
        <v>86</v>
      </c>
      <c r="K4" s="8" t="s">
        <v>87</v>
      </c>
      <c r="L4" s="9" t="s">
        <v>78</v>
      </c>
      <c r="M4" s="11"/>
      <c r="N4" s="6" t="s">
        <v>79</v>
      </c>
      <c r="O4" s="239"/>
      <c r="P4" s="240"/>
      <c r="Q4" s="241"/>
      <c r="R4" s="242"/>
      <c r="S4" s="243"/>
      <c r="T4" s="244"/>
      <c r="U4" s="245"/>
      <c r="V4" s="246"/>
      <c r="W4" s="239"/>
      <c r="X4" s="239"/>
      <c r="Y4" s="242"/>
      <c r="Z4" s="248"/>
      <c r="AA4" s="239"/>
      <c r="AB4" s="242"/>
      <c r="AC4" s="96"/>
      <c r="AD4" s="97"/>
    </row>
    <row r="5" spans="2:30" ht="15" thickBot="1">
      <c r="B5" s="325"/>
      <c r="C5" s="326"/>
      <c r="D5" s="13" t="s">
        <v>88</v>
      </c>
      <c r="E5" s="14" t="s">
        <v>89</v>
      </c>
      <c r="F5" s="15" t="s">
        <v>90</v>
      </c>
      <c r="G5" s="10"/>
      <c r="H5" s="325"/>
      <c r="I5" s="326"/>
      <c r="J5" s="13" t="s">
        <v>88</v>
      </c>
      <c r="K5" s="14" t="s">
        <v>89</v>
      </c>
      <c r="L5" s="15" t="s">
        <v>90</v>
      </c>
      <c r="M5" s="11"/>
      <c r="N5" s="16"/>
      <c r="O5" s="17"/>
      <c r="P5" s="18" t="s">
        <v>80</v>
      </c>
      <c r="Q5" s="19" t="s">
        <v>81</v>
      </c>
      <c r="R5" s="20" t="s">
        <v>303</v>
      </c>
      <c r="S5" s="21" t="s">
        <v>306</v>
      </c>
      <c r="T5" s="22" t="s">
        <v>82</v>
      </c>
      <c r="U5" s="23" t="s">
        <v>83</v>
      </c>
      <c r="V5" s="24" t="s">
        <v>91</v>
      </c>
      <c r="W5" s="25" t="s">
        <v>92</v>
      </c>
      <c r="X5" s="25" t="s">
        <v>93</v>
      </c>
      <c r="Y5" s="26" t="s">
        <v>84</v>
      </c>
      <c r="Z5" s="27"/>
      <c r="AA5" s="17"/>
      <c r="AB5" s="28"/>
      <c r="AC5" s="157"/>
      <c r="AD5" s="158"/>
    </row>
    <row r="6" spans="2:30" ht="15" thickTop="1">
      <c r="B6" s="29">
        <v>1</v>
      </c>
      <c r="C6" s="30" t="str">
        <f aca="true" t="shared" si="0" ref="C6:C18">VLOOKUP(B6,$N$6:$O$65,2)</f>
        <v>福島市</v>
      </c>
      <c r="D6" s="31">
        <f aca="true" t="shared" si="1" ref="D6:D48">VLOOKUP(B6,$N$6:$AB$65,5)</f>
        <v>33368581</v>
      </c>
      <c r="E6" s="32">
        <f aca="true" t="shared" si="2" ref="E6:E48">VLOOKUP(B6,$N$6:$AB$65,8)</f>
        <v>41886993</v>
      </c>
      <c r="F6" s="33">
        <f aca="true" t="shared" si="3" ref="F6:F18">VLOOKUP(B6,$N$6:$AB$65,12)</f>
        <v>0.78</v>
      </c>
      <c r="G6" s="34"/>
      <c r="H6" s="35">
        <v>43</v>
      </c>
      <c r="I6" s="30" t="str">
        <f aca="true" t="shared" si="4" ref="I6:I23">VLOOKUP(H6,$N$6:$O$65,2)</f>
        <v>鮫川村</v>
      </c>
      <c r="J6" s="31">
        <f>VLOOKUP(H6,$N$6:$AB$65,5)</f>
        <v>310741</v>
      </c>
      <c r="K6" s="32">
        <f>VLOOKUP(H6,$N$6:$AB$65,8)</f>
        <v>1715297</v>
      </c>
      <c r="L6" s="33">
        <v>0.38</v>
      </c>
      <c r="M6" s="11"/>
      <c r="N6" s="36">
        <v>1</v>
      </c>
      <c r="O6" s="37" t="s">
        <v>0</v>
      </c>
      <c r="P6" s="38">
        <v>31087618</v>
      </c>
      <c r="Q6" s="39">
        <v>32372893</v>
      </c>
      <c r="R6" s="227">
        <v>33368581</v>
      </c>
      <c r="S6" s="124">
        <v>41646646</v>
      </c>
      <c r="T6" s="40">
        <v>41511286</v>
      </c>
      <c r="U6" s="229">
        <v>41886993</v>
      </c>
      <c r="V6" s="41">
        <f aca="true" t="shared" si="5" ref="V6:V65">ROUND(P6/S6,2)</f>
        <v>0.75</v>
      </c>
      <c r="W6" s="125">
        <f aca="true" t="shared" si="6" ref="W6:W65">ROUND(Q6/T6,2)</f>
        <v>0.78</v>
      </c>
      <c r="X6" s="125">
        <f aca="true" t="shared" si="7" ref="X6:X65">ROUND(R6/U6,2)</f>
        <v>0.8</v>
      </c>
      <c r="Y6" s="42">
        <f aca="true" t="shared" si="8" ref="Y6:Y68">ROUND((X6+W6+V6)/3,2)</f>
        <v>0.78</v>
      </c>
      <c r="Z6" s="126">
        <v>43329978</v>
      </c>
      <c r="AA6" s="127">
        <v>8464116</v>
      </c>
      <c r="AB6" s="128">
        <f aca="true" t="shared" si="9" ref="AB6:AB65">AA6+Z6</f>
        <v>51794094</v>
      </c>
      <c r="AC6" s="159">
        <v>1773856</v>
      </c>
      <c r="AD6" s="160">
        <f>ROUND(AC6/AB6*100,1)</f>
        <v>3.4</v>
      </c>
    </row>
    <row r="7" spans="2:30" ht="14.25">
      <c r="B7" s="43">
        <v>2</v>
      </c>
      <c r="C7" s="30" t="str">
        <f t="shared" si="0"/>
        <v>会津若松市</v>
      </c>
      <c r="D7" s="44">
        <f t="shared" si="1"/>
        <v>14700589</v>
      </c>
      <c r="E7" s="45">
        <f t="shared" si="2"/>
        <v>21268649</v>
      </c>
      <c r="F7" s="46">
        <f t="shared" si="3"/>
        <v>0.67</v>
      </c>
      <c r="G7" s="34"/>
      <c r="H7" s="47">
        <v>44</v>
      </c>
      <c r="I7" s="30" t="str">
        <f t="shared" si="4"/>
        <v>石川町</v>
      </c>
      <c r="J7" s="253">
        <f>VLOOKUP(H7,$N$6:$AB$65,5)</f>
        <v>1717234</v>
      </c>
      <c r="K7" s="254">
        <f>VLOOKUP(H7,$N$6:$AB$65,8)</f>
        <v>3915282</v>
      </c>
      <c r="L7" s="255">
        <v>0.28</v>
      </c>
      <c r="M7" s="11"/>
      <c r="N7" s="129">
        <v>2</v>
      </c>
      <c r="O7" s="130" t="s">
        <v>1</v>
      </c>
      <c r="P7" s="131">
        <v>14074457</v>
      </c>
      <c r="Q7" s="132">
        <v>14270695</v>
      </c>
      <c r="R7" s="228">
        <v>14700589</v>
      </c>
      <c r="S7" s="48">
        <v>21685618</v>
      </c>
      <c r="T7" s="49">
        <v>21612644</v>
      </c>
      <c r="U7" s="230">
        <v>21268649</v>
      </c>
      <c r="V7" s="50">
        <f t="shared" si="5"/>
        <v>0.65</v>
      </c>
      <c r="W7" s="51">
        <f t="shared" si="6"/>
        <v>0.66</v>
      </c>
      <c r="X7" s="51">
        <f t="shared" si="7"/>
        <v>0.69</v>
      </c>
      <c r="Y7" s="133">
        <f t="shared" si="8"/>
        <v>0.67</v>
      </c>
      <c r="Z7" s="52">
        <v>19053188</v>
      </c>
      <c r="AA7" s="53">
        <v>7614735</v>
      </c>
      <c r="AB7" s="54">
        <f t="shared" si="9"/>
        <v>26667923</v>
      </c>
      <c r="AC7" s="161">
        <v>1310427</v>
      </c>
      <c r="AD7" s="162">
        <f aca="true" t="shared" si="10" ref="AD7:AD65">ROUND(AC7/AB7*100,1)</f>
        <v>4.9</v>
      </c>
    </row>
    <row r="8" spans="2:30" ht="14.25">
      <c r="B8" s="43">
        <v>3</v>
      </c>
      <c r="C8" s="30" t="str">
        <f t="shared" si="0"/>
        <v>郡山市</v>
      </c>
      <c r="D8" s="44">
        <f t="shared" si="1"/>
        <v>40889253</v>
      </c>
      <c r="E8" s="45">
        <f t="shared" si="2"/>
        <v>51539794</v>
      </c>
      <c r="F8" s="46">
        <f t="shared" si="3"/>
        <v>0.77</v>
      </c>
      <c r="G8" s="34"/>
      <c r="H8" s="35">
        <v>45</v>
      </c>
      <c r="I8" s="30" t="str">
        <f t="shared" si="4"/>
        <v>玉川村</v>
      </c>
      <c r="J8" s="253">
        <f aca="true" t="shared" si="11" ref="J8:J23">VLOOKUP(H8,$N$6:$AB$65,5)</f>
        <v>742319</v>
      </c>
      <c r="K8" s="254">
        <f aca="true" t="shared" si="12" ref="K8:K23">VLOOKUP(H8,$N$6:$AB$65,8)</f>
        <v>1963445</v>
      </c>
      <c r="L8" s="255">
        <v>0.38</v>
      </c>
      <c r="M8" s="11"/>
      <c r="N8" s="36">
        <v>3</v>
      </c>
      <c r="O8" s="130" t="s">
        <v>2</v>
      </c>
      <c r="P8" s="131">
        <v>38524132</v>
      </c>
      <c r="Q8" s="132">
        <v>40250446</v>
      </c>
      <c r="R8" s="228">
        <v>40889253</v>
      </c>
      <c r="S8" s="48">
        <v>52096892</v>
      </c>
      <c r="T8" s="49">
        <v>51680994</v>
      </c>
      <c r="U8" s="230">
        <v>51539794</v>
      </c>
      <c r="V8" s="50">
        <f t="shared" si="5"/>
        <v>0.74</v>
      </c>
      <c r="W8" s="51">
        <f t="shared" si="6"/>
        <v>0.78</v>
      </c>
      <c r="X8" s="51">
        <f t="shared" si="7"/>
        <v>0.79</v>
      </c>
      <c r="Y8" s="133">
        <f t="shared" si="8"/>
        <v>0.77</v>
      </c>
      <c r="Z8" s="52">
        <v>53159079</v>
      </c>
      <c r="AA8" s="53">
        <v>10561152</v>
      </c>
      <c r="AB8" s="54">
        <f t="shared" si="9"/>
        <v>63720231</v>
      </c>
      <c r="AC8" s="161">
        <v>2498479</v>
      </c>
      <c r="AD8" s="162">
        <f t="shared" si="10"/>
        <v>3.9</v>
      </c>
    </row>
    <row r="9" spans="2:30" ht="14.25">
      <c r="B9" s="43">
        <v>4</v>
      </c>
      <c r="C9" s="30" t="str">
        <f t="shared" si="0"/>
        <v>いわき市</v>
      </c>
      <c r="D9" s="44">
        <f t="shared" si="1"/>
        <v>40543785</v>
      </c>
      <c r="E9" s="45">
        <f t="shared" si="2"/>
        <v>56787267</v>
      </c>
      <c r="F9" s="46">
        <f t="shared" si="3"/>
        <v>0.69</v>
      </c>
      <c r="G9" s="34"/>
      <c r="H9" s="47">
        <v>46</v>
      </c>
      <c r="I9" s="30" t="str">
        <f t="shared" si="4"/>
        <v>平田村</v>
      </c>
      <c r="J9" s="253">
        <f t="shared" si="11"/>
        <v>635471</v>
      </c>
      <c r="K9" s="254">
        <f t="shared" si="12"/>
        <v>2224142</v>
      </c>
      <c r="L9" s="255">
        <v>0.28</v>
      </c>
      <c r="M9" s="11"/>
      <c r="N9" s="129">
        <v>4</v>
      </c>
      <c r="O9" s="130" t="s">
        <v>3</v>
      </c>
      <c r="P9" s="131">
        <v>38472340</v>
      </c>
      <c r="Q9" s="132">
        <v>40012910</v>
      </c>
      <c r="R9" s="228">
        <v>40543785</v>
      </c>
      <c r="S9" s="48">
        <v>57156299</v>
      </c>
      <c r="T9" s="49">
        <v>56973626</v>
      </c>
      <c r="U9" s="230">
        <v>56787267</v>
      </c>
      <c r="V9" s="50">
        <f t="shared" si="5"/>
        <v>0.67</v>
      </c>
      <c r="W9" s="51">
        <f t="shared" si="6"/>
        <v>0.7</v>
      </c>
      <c r="X9" s="51">
        <f t="shared" si="7"/>
        <v>0.71</v>
      </c>
      <c r="Y9" s="133">
        <f t="shared" si="8"/>
        <v>0.69</v>
      </c>
      <c r="Z9" s="52">
        <v>52537447</v>
      </c>
      <c r="AA9" s="53">
        <v>16164611</v>
      </c>
      <c r="AB9" s="54">
        <f t="shared" si="9"/>
        <v>68702058</v>
      </c>
      <c r="AC9" s="161">
        <v>1516282</v>
      </c>
      <c r="AD9" s="197">
        <f t="shared" si="10"/>
        <v>2.2</v>
      </c>
    </row>
    <row r="10" spans="2:30" ht="14.25">
      <c r="B10" s="43">
        <v>5</v>
      </c>
      <c r="C10" s="30" t="str">
        <f t="shared" si="0"/>
        <v>白河市</v>
      </c>
      <c r="D10" s="44">
        <f t="shared" si="1"/>
        <v>7488900</v>
      </c>
      <c r="E10" s="45">
        <f t="shared" si="2"/>
        <v>12200603</v>
      </c>
      <c r="F10" s="46">
        <f t="shared" si="3"/>
        <v>0.58</v>
      </c>
      <c r="G10" s="34"/>
      <c r="H10" s="47">
        <v>47</v>
      </c>
      <c r="I10" s="30" t="str">
        <f t="shared" si="4"/>
        <v>浅川町</v>
      </c>
      <c r="J10" s="253">
        <f t="shared" si="11"/>
        <v>679489</v>
      </c>
      <c r="K10" s="254">
        <f t="shared" si="12"/>
        <v>1795647</v>
      </c>
      <c r="L10" s="255">
        <v>0.37</v>
      </c>
      <c r="M10" s="11"/>
      <c r="N10" s="36">
        <v>5</v>
      </c>
      <c r="O10" s="130" t="s">
        <v>4</v>
      </c>
      <c r="P10" s="131">
        <v>7022287</v>
      </c>
      <c r="Q10" s="132">
        <v>7436474</v>
      </c>
      <c r="R10" s="228">
        <v>7488900</v>
      </c>
      <c r="S10" s="48">
        <v>13174985</v>
      </c>
      <c r="T10" s="49">
        <v>12138750</v>
      </c>
      <c r="U10" s="230">
        <v>12200603</v>
      </c>
      <c r="V10" s="50">
        <f t="shared" si="5"/>
        <v>0.53</v>
      </c>
      <c r="W10" s="51">
        <f t="shared" si="6"/>
        <v>0.61</v>
      </c>
      <c r="X10" s="51">
        <f t="shared" si="7"/>
        <v>0.61</v>
      </c>
      <c r="Y10" s="133">
        <f t="shared" si="8"/>
        <v>0.58</v>
      </c>
      <c r="Z10" s="52">
        <v>9666259</v>
      </c>
      <c r="AA10" s="53">
        <v>6101609</v>
      </c>
      <c r="AB10" s="54">
        <f t="shared" si="9"/>
        <v>15767868</v>
      </c>
      <c r="AC10" s="161">
        <v>1394369</v>
      </c>
      <c r="AD10" s="162">
        <f t="shared" si="10"/>
        <v>8.8</v>
      </c>
    </row>
    <row r="11" spans="2:30" ht="14.25">
      <c r="B11" s="43">
        <v>6</v>
      </c>
      <c r="C11" s="30" t="str">
        <f t="shared" si="0"/>
        <v>須賀川市</v>
      </c>
      <c r="D11" s="44">
        <f t="shared" si="1"/>
        <v>8226556</v>
      </c>
      <c r="E11" s="45">
        <f t="shared" si="2"/>
        <v>13432395</v>
      </c>
      <c r="F11" s="46">
        <f t="shared" si="3"/>
        <v>0.59</v>
      </c>
      <c r="G11" s="34"/>
      <c r="H11" s="47">
        <v>48</v>
      </c>
      <c r="I11" s="30" t="str">
        <f t="shared" si="4"/>
        <v>古殿町</v>
      </c>
      <c r="J11" s="253">
        <f t="shared" si="11"/>
        <v>547916</v>
      </c>
      <c r="K11" s="254">
        <f t="shared" si="12"/>
        <v>2201825</v>
      </c>
      <c r="L11" s="255">
        <v>0.25</v>
      </c>
      <c r="M11" s="11"/>
      <c r="N11" s="129">
        <v>6</v>
      </c>
      <c r="O11" s="130" t="s">
        <v>5</v>
      </c>
      <c r="P11" s="131">
        <v>7720200</v>
      </c>
      <c r="Q11" s="132">
        <v>7953959</v>
      </c>
      <c r="R11" s="228">
        <v>8226556</v>
      </c>
      <c r="S11" s="48">
        <v>13232702</v>
      </c>
      <c r="T11" s="49">
        <v>13427687</v>
      </c>
      <c r="U11" s="230">
        <v>13432395</v>
      </c>
      <c r="V11" s="50">
        <f t="shared" si="5"/>
        <v>0.58</v>
      </c>
      <c r="W11" s="51">
        <f t="shared" si="6"/>
        <v>0.59</v>
      </c>
      <c r="X11" s="51">
        <f t="shared" si="7"/>
        <v>0.61</v>
      </c>
      <c r="Y11" s="133">
        <f t="shared" si="8"/>
        <v>0.59</v>
      </c>
      <c r="Z11" s="52">
        <v>10559866</v>
      </c>
      <c r="AA11" s="53">
        <v>6094284</v>
      </c>
      <c r="AB11" s="54">
        <f t="shared" si="9"/>
        <v>16654150</v>
      </c>
      <c r="AC11" s="161">
        <v>1087034</v>
      </c>
      <c r="AD11" s="162">
        <f t="shared" si="10"/>
        <v>6.5</v>
      </c>
    </row>
    <row r="12" spans="2:30" ht="14.25">
      <c r="B12" s="43">
        <v>7</v>
      </c>
      <c r="C12" s="30" t="str">
        <f t="shared" si="0"/>
        <v>喜多方市</v>
      </c>
      <c r="D12" s="44">
        <f t="shared" si="1"/>
        <v>4754673</v>
      </c>
      <c r="E12" s="45">
        <f t="shared" si="2"/>
        <v>11790199</v>
      </c>
      <c r="F12" s="46">
        <f t="shared" si="3"/>
        <v>0.39</v>
      </c>
      <c r="G12" s="34"/>
      <c r="H12" s="47">
        <v>49</v>
      </c>
      <c r="I12" s="30" t="str">
        <f t="shared" si="4"/>
        <v>三春町</v>
      </c>
      <c r="J12" s="253">
        <f t="shared" si="11"/>
        <v>1766922</v>
      </c>
      <c r="K12" s="254">
        <f t="shared" si="12"/>
        <v>3664395</v>
      </c>
      <c r="L12" s="255">
        <v>0.46</v>
      </c>
      <c r="M12" s="11"/>
      <c r="N12" s="36">
        <v>7</v>
      </c>
      <c r="O12" s="130" t="s">
        <v>6</v>
      </c>
      <c r="P12" s="131">
        <v>4775184</v>
      </c>
      <c r="Q12" s="132">
        <v>4807597</v>
      </c>
      <c r="R12" s="228">
        <v>4754673</v>
      </c>
      <c r="S12" s="48">
        <v>13391745</v>
      </c>
      <c r="T12" s="49">
        <v>12005918</v>
      </c>
      <c r="U12" s="230">
        <v>11790199</v>
      </c>
      <c r="V12" s="50">
        <f t="shared" si="5"/>
        <v>0.36</v>
      </c>
      <c r="W12" s="51">
        <f t="shared" si="6"/>
        <v>0.4</v>
      </c>
      <c r="X12" s="51">
        <f t="shared" si="7"/>
        <v>0.4</v>
      </c>
      <c r="Y12" s="133">
        <f t="shared" si="8"/>
        <v>0.39</v>
      </c>
      <c r="Z12" s="52">
        <v>6070647</v>
      </c>
      <c r="AA12" s="53">
        <v>8666230</v>
      </c>
      <c r="AB12" s="54">
        <f t="shared" si="9"/>
        <v>14736877</v>
      </c>
      <c r="AC12" s="161">
        <v>501199</v>
      </c>
      <c r="AD12" s="162">
        <f t="shared" si="10"/>
        <v>3.4</v>
      </c>
    </row>
    <row r="13" spans="2:30" ht="14.25">
      <c r="B13" s="43">
        <v>8</v>
      </c>
      <c r="C13" s="30" t="str">
        <f t="shared" si="0"/>
        <v>相馬市</v>
      </c>
      <c r="D13" s="44">
        <f t="shared" si="1"/>
        <v>4105355</v>
      </c>
      <c r="E13" s="45">
        <f t="shared" si="2"/>
        <v>7381983</v>
      </c>
      <c r="F13" s="46">
        <f t="shared" si="3"/>
        <v>0.53</v>
      </c>
      <c r="G13" s="34"/>
      <c r="H13" s="47">
        <v>50</v>
      </c>
      <c r="I13" s="30" t="str">
        <f t="shared" si="4"/>
        <v>小野町</v>
      </c>
      <c r="J13" s="253">
        <f t="shared" si="11"/>
        <v>1054412</v>
      </c>
      <c r="K13" s="254">
        <f t="shared" si="12"/>
        <v>2687896</v>
      </c>
      <c r="L13" s="255">
        <v>0.37</v>
      </c>
      <c r="M13" s="11"/>
      <c r="N13" s="129">
        <v>8</v>
      </c>
      <c r="O13" s="130" t="s">
        <v>7</v>
      </c>
      <c r="P13" s="131">
        <v>3816781</v>
      </c>
      <c r="Q13" s="132">
        <v>3945932</v>
      </c>
      <c r="R13" s="228">
        <v>4105355</v>
      </c>
      <c r="S13" s="48">
        <v>7448553</v>
      </c>
      <c r="T13" s="49">
        <v>7378488</v>
      </c>
      <c r="U13" s="230">
        <v>7381983</v>
      </c>
      <c r="V13" s="50">
        <f t="shared" si="5"/>
        <v>0.51</v>
      </c>
      <c r="W13" s="51">
        <f t="shared" si="6"/>
        <v>0.53</v>
      </c>
      <c r="X13" s="51">
        <f t="shared" si="7"/>
        <v>0.56</v>
      </c>
      <c r="Y13" s="133">
        <f t="shared" si="8"/>
        <v>0.53</v>
      </c>
      <c r="Z13" s="52">
        <v>5289480</v>
      </c>
      <c r="AA13" s="53">
        <v>3246208</v>
      </c>
      <c r="AB13" s="54">
        <f t="shared" si="9"/>
        <v>8535688</v>
      </c>
      <c r="AC13" s="161">
        <v>457887</v>
      </c>
      <c r="AD13" s="162">
        <f t="shared" si="10"/>
        <v>5.4</v>
      </c>
    </row>
    <row r="14" spans="2:30" ht="14.25">
      <c r="B14" s="43">
        <v>9</v>
      </c>
      <c r="C14" s="30" t="str">
        <f t="shared" si="0"/>
        <v>二本松市</v>
      </c>
      <c r="D14" s="44">
        <f t="shared" si="1"/>
        <v>6371994</v>
      </c>
      <c r="E14" s="45">
        <f t="shared" si="2"/>
        <v>12459085</v>
      </c>
      <c r="F14" s="46">
        <f t="shared" si="3"/>
        <v>0.48</v>
      </c>
      <c r="G14" s="34"/>
      <c r="H14" s="47">
        <v>51</v>
      </c>
      <c r="I14" s="30" t="str">
        <f t="shared" si="4"/>
        <v>広野町</v>
      </c>
      <c r="J14" s="253">
        <f t="shared" si="11"/>
        <v>1991440</v>
      </c>
      <c r="K14" s="254">
        <f t="shared" si="12"/>
        <v>1431860</v>
      </c>
      <c r="L14" s="255">
        <v>1.44</v>
      </c>
      <c r="M14" s="11"/>
      <c r="N14" s="36">
        <v>9</v>
      </c>
      <c r="O14" s="130" t="s">
        <v>8</v>
      </c>
      <c r="P14" s="131">
        <v>6117988</v>
      </c>
      <c r="Q14" s="132">
        <v>6195022</v>
      </c>
      <c r="R14" s="228">
        <v>6371994</v>
      </c>
      <c r="S14" s="48">
        <v>13791243</v>
      </c>
      <c r="T14" s="49">
        <v>12613033</v>
      </c>
      <c r="U14" s="230">
        <v>12459085</v>
      </c>
      <c r="V14" s="50">
        <f t="shared" si="5"/>
        <v>0.44</v>
      </c>
      <c r="W14" s="51">
        <f t="shared" si="6"/>
        <v>0.49</v>
      </c>
      <c r="X14" s="51">
        <f t="shared" si="7"/>
        <v>0.51</v>
      </c>
      <c r="Y14" s="133">
        <f t="shared" si="8"/>
        <v>0.48</v>
      </c>
      <c r="Z14" s="52">
        <v>8125122</v>
      </c>
      <c r="AA14" s="53">
        <v>7591202</v>
      </c>
      <c r="AB14" s="54">
        <f t="shared" si="9"/>
        <v>15716324</v>
      </c>
      <c r="AC14" s="161">
        <v>643567</v>
      </c>
      <c r="AD14" s="162">
        <f t="shared" si="10"/>
        <v>4.1</v>
      </c>
    </row>
    <row r="15" spans="2:30" ht="14.25">
      <c r="B15" s="55">
        <v>10</v>
      </c>
      <c r="C15" s="30" t="str">
        <f t="shared" si="0"/>
        <v>田村市</v>
      </c>
      <c r="D15" s="44">
        <f t="shared" si="1"/>
        <v>3486349</v>
      </c>
      <c r="E15" s="45">
        <f t="shared" si="2"/>
        <v>9815144</v>
      </c>
      <c r="F15" s="46">
        <f t="shared" si="3"/>
        <v>0.35</v>
      </c>
      <c r="G15" s="34"/>
      <c r="H15" s="47">
        <v>52</v>
      </c>
      <c r="I15" s="30" t="str">
        <f t="shared" si="4"/>
        <v>楢葉町</v>
      </c>
      <c r="J15" s="253">
        <f t="shared" si="11"/>
        <v>2272651</v>
      </c>
      <c r="K15" s="254">
        <f t="shared" si="12"/>
        <v>1915256</v>
      </c>
      <c r="L15" s="255">
        <v>1.19</v>
      </c>
      <c r="M15" s="11"/>
      <c r="N15" s="129">
        <v>10</v>
      </c>
      <c r="O15" s="130" t="s">
        <v>155</v>
      </c>
      <c r="P15" s="131">
        <v>3375154</v>
      </c>
      <c r="Q15" s="132">
        <v>3475197</v>
      </c>
      <c r="R15" s="228">
        <v>3486349</v>
      </c>
      <c r="S15" s="48">
        <v>9975685</v>
      </c>
      <c r="T15" s="49">
        <v>9960653</v>
      </c>
      <c r="U15" s="230">
        <v>9815144</v>
      </c>
      <c r="V15" s="50">
        <f t="shared" si="5"/>
        <v>0.34</v>
      </c>
      <c r="W15" s="51">
        <f t="shared" si="6"/>
        <v>0.35</v>
      </c>
      <c r="X15" s="51">
        <f t="shared" si="7"/>
        <v>0.36</v>
      </c>
      <c r="Y15" s="133">
        <f t="shared" si="8"/>
        <v>0.35</v>
      </c>
      <c r="Z15" s="52">
        <v>4431692</v>
      </c>
      <c r="AA15" s="53">
        <v>8103404</v>
      </c>
      <c r="AB15" s="54">
        <f t="shared" si="9"/>
        <v>12535096</v>
      </c>
      <c r="AC15" s="161">
        <v>537424</v>
      </c>
      <c r="AD15" s="162">
        <f t="shared" si="10"/>
        <v>4.3</v>
      </c>
    </row>
    <row r="16" spans="2:30" ht="14.25">
      <c r="B16" s="55">
        <v>11</v>
      </c>
      <c r="C16" s="30" t="str">
        <f t="shared" si="0"/>
        <v>南相馬市</v>
      </c>
      <c r="D16" s="44">
        <f t="shared" si="1"/>
        <v>8939370</v>
      </c>
      <c r="E16" s="45">
        <f t="shared" si="2"/>
        <v>13293428</v>
      </c>
      <c r="F16" s="46">
        <f t="shared" si="3"/>
        <v>0.67</v>
      </c>
      <c r="G16" s="34"/>
      <c r="H16" s="47">
        <v>53</v>
      </c>
      <c r="I16" s="30" t="str">
        <f t="shared" si="4"/>
        <v>富岡町</v>
      </c>
      <c r="J16" s="253">
        <f t="shared" si="11"/>
        <v>2786024</v>
      </c>
      <c r="K16" s="254">
        <f t="shared" si="12"/>
        <v>3020419</v>
      </c>
      <c r="L16" s="255">
        <v>0.92</v>
      </c>
      <c r="M16" s="11"/>
      <c r="N16" s="36">
        <v>11</v>
      </c>
      <c r="O16" s="130" t="s">
        <v>230</v>
      </c>
      <c r="P16" s="131">
        <v>9059900</v>
      </c>
      <c r="Q16" s="132">
        <v>9055632</v>
      </c>
      <c r="R16" s="228">
        <v>8939370</v>
      </c>
      <c r="S16" s="48">
        <v>13832911</v>
      </c>
      <c r="T16" s="49">
        <v>13256624</v>
      </c>
      <c r="U16" s="230">
        <v>13293428</v>
      </c>
      <c r="V16" s="50">
        <f t="shared" si="5"/>
        <v>0.65</v>
      </c>
      <c r="W16" s="51">
        <f t="shared" si="6"/>
        <v>0.68</v>
      </c>
      <c r="X16" s="51">
        <f t="shared" si="7"/>
        <v>0.67</v>
      </c>
      <c r="Y16" s="133">
        <f t="shared" si="8"/>
        <v>0.67</v>
      </c>
      <c r="Z16" s="52">
        <v>11554418</v>
      </c>
      <c r="AA16" s="53">
        <v>5361381</v>
      </c>
      <c r="AB16" s="54">
        <f t="shared" si="9"/>
        <v>16915799</v>
      </c>
      <c r="AC16" s="161">
        <v>780589</v>
      </c>
      <c r="AD16" s="162">
        <f t="shared" si="10"/>
        <v>4.6</v>
      </c>
    </row>
    <row r="17" spans="2:30" ht="14.25">
      <c r="B17" s="55">
        <v>12</v>
      </c>
      <c r="C17" s="30" t="str">
        <f t="shared" si="0"/>
        <v>伊達市</v>
      </c>
      <c r="D17" s="44">
        <f t="shared" si="1"/>
        <v>5850500</v>
      </c>
      <c r="E17" s="45">
        <f t="shared" si="2"/>
        <v>12200421</v>
      </c>
      <c r="F17" s="46">
        <f t="shared" si="3"/>
        <v>0.45</v>
      </c>
      <c r="G17" s="34"/>
      <c r="H17" s="47">
        <v>54</v>
      </c>
      <c r="I17" s="30" t="str">
        <f t="shared" si="4"/>
        <v>川内村</v>
      </c>
      <c r="J17" s="253">
        <f t="shared" si="11"/>
        <v>429235</v>
      </c>
      <c r="K17" s="254">
        <f t="shared" si="12"/>
        <v>1480126</v>
      </c>
      <c r="L17" s="255">
        <v>0.3</v>
      </c>
      <c r="M17" s="11"/>
      <c r="N17" s="129">
        <v>12</v>
      </c>
      <c r="O17" s="130" t="s">
        <v>231</v>
      </c>
      <c r="P17" s="131">
        <v>5603148</v>
      </c>
      <c r="Q17" s="132">
        <v>5714022</v>
      </c>
      <c r="R17" s="228">
        <v>5850500</v>
      </c>
      <c r="S17" s="48">
        <v>13562060</v>
      </c>
      <c r="T17" s="49">
        <v>12274834</v>
      </c>
      <c r="U17" s="230">
        <v>12200421</v>
      </c>
      <c r="V17" s="50">
        <f t="shared" si="5"/>
        <v>0.41</v>
      </c>
      <c r="W17" s="51">
        <f t="shared" si="6"/>
        <v>0.47</v>
      </c>
      <c r="X17" s="51">
        <f t="shared" si="7"/>
        <v>0.48</v>
      </c>
      <c r="Y17" s="133">
        <f t="shared" si="8"/>
        <v>0.45</v>
      </c>
      <c r="Z17" s="52">
        <v>7456637</v>
      </c>
      <c r="AA17" s="53">
        <v>8416890</v>
      </c>
      <c r="AB17" s="54">
        <f t="shared" si="9"/>
        <v>15873527</v>
      </c>
      <c r="AC17" s="161">
        <v>776181</v>
      </c>
      <c r="AD17" s="162">
        <f t="shared" si="10"/>
        <v>4.9</v>
      </c>
    </row>
    <row r="18" spans="2:30" ht="15" thickBot="1">
      <c r="B18" s="55">
        <v>13</v>
      </c>
      <c r="C18" s="30" t="str">
        <f t="shared" si="0"/>
        <v>本宮市</v>
      </c>
      <c r="D18" s="44">
        <f t="shared" si="1"/>
        <v>4069005</v>
      </c>
      <c r="E18" s="45">
        <f t="shared" si="2"/>
        <v>5734966</v>
      </c>
      <c r="F18" s="46">
        <f t="shared" si="3"/>
        <v>0.67</v>
      </c>
      <c r="G18" s="34"/>
      <c r="H18" s="47">
        <v>55</v>
      </c>
      <c r="I18" s="30" t="str">
        <f t="shared" si="4"/>
        <v>大熊町</v>
      </c>
      <c r="J18" s="253">
        <f t="shared" si="11"/>
        <v>3173221</v>
      </c>
      <c r="K18" s="254">
        <f t="shared" si="12"/>
        <v>2024898</v>
      </c>
      <c r="L18" s="255">
        <v>1.61</v>
      </c>
      <c r="M18" s="11"/>
      <c r="N18" s="36">
        <v>13</v>
      </c>
      <c r="O18" s="130" t="s">
        <v>285</v>
      </c>
      <c r="P18" s="131">
        <v>3847274</v>
      </c>
      <c r="Q18" s="132">
        <v>3833938</v>
      </c>
      <c r="R18" s="228">
        <v>4069005</v>
      </c>
      <c r="S18" s="48">
        <v>5980965</v>
      </c>
      <c r="T18" s="49">
        <v>5918842</v>
      </c>
      <c r="U18" s="230">
        <v>5734966</v>
      </c>
      <c r="V18" s="50">
        <f>ROUND(P18/S18,2)</f>
        <v>0.64</v>
      </c>
      <c r="W18" s="51">
        <f>ROUND(Q18/T18,2)</f>
        <v>0.65</v>
      </c>
      <c r="X18" s="51">
        <f t="shared" si="7"/>
        <v>0.71</v>
      </c>
      <c r="Y18" s="133">
        <f t="shared" si="8"/>
        <v>0.67</v>
      </c>
      <c r="Z18" s="52">
        <v>5244318</v>
      </c>
      <c r="AA18" s="53">
        <v>2136883</v>
      </c>
      <c r="AB18" s="54">
        <f t="shared" si="9"/>
        <v>7381201</v>
      </c>
      <c r="AC18" s="161">
        <v>391783</v>
      </c>
      <c r="AD18" s="162">
        <f t="shared" si="10"/>
        <v>5.3</v>
      </c>
    </row>
    <row r="19" spans="2:30" ht="15.75" thickBot="1" thickTop="1">
      <c r="B19" s="314" t="s">
        <v>94</v>
      </c>
      <c r="C19" s="315"/>
      <c r="D19" s="56">
        <f>SUM(D6:D18)</f>
        <v>182794910</v>
      </c>
      <c r="E19" s="57">
        <f>SUM(E6:E18)</f>
        <v>269790927</v>
      </c>
      <c r="F19" s="58">
        <f>Y66</f>
        <v>0.59</v>
      </c>
      <c r="G19" s="249">
        <f>AVERAGE(F6:F18)</f>
        <v>0.5861538461538461</v>
      </c>
      <c r="H19" s="47">
        <v>56</v>
      </c>
      <c r="I19" s="30" t="str">
        <f t="shared" si="4"/>
        <v>双葉町</v>
      </c>
      <c r="J19" s="253">
        <f t="shared" si="11"/>
        <v>1450423</v>
      </c>
      <c r="K19" s="254">
        <f t="shared" si="12"/>
        <v>1854360</v>
      </c>
      <c r="L19" s="255">
        <v>0.8</v>
      </c>
      <c r="M19" s="11"/>
      <c r="N19" s="129">
        <v>14</v>
      </c>
      <c r="O19" s="130" t="s">
        <v>10</v>
      </c>
      <c r="P19" s="131">
        <v>1277159</v>
      </c>
      <c r="Q19" s="132">
        <v>1347403</v>
      </c>
      <c r="R19" s="228">
        <v>1364900</v>
      </c>
      <c r="S19" s="48">
        <v>2590293</v>
      </c>
      <c r="T19" s="49">
        <v>2591193</v>
      </c>
      <c r="U19" s="230">
        <v>2669804</v>
      </c>
      <c r="V19" s="50">
        <f t="shared" si="5"/>
        <v>0.49</v>
      </c>
      <c r="W19" s="51">
        <f t="shared" si="6"/>
        <v>0.52</v>
      </c>
      <c r="X19" s="51">
        <f t="shared" si="7"/>
        <v>0.51</v>
      </c>
      <c r="Y19" s="133">
        <f t="shared" si="8"/>
        <v>0.51</v>
      </c>
      <c r="Z19" s="52">
        <v>1743400</v>
      </c>
      <c r="AA19" s="53">
        <v>1300694</v>
      </c>
      <c r="AB19" s="54">
        <f t="shared" si="9"/>
        <v>3044094</v>
      </c>
      <c r="AC19" s="161">
        <v>190292</v>
      </c>
      <c r="AD19" s="162">
        <f t="shared" si="10"/>
        <v>6.3</v>
      </c>
    </row>
    <row r="20" spans="2:30" ht="15" thickTop="1">
      <c r="B20" s="43">
        <v>14</v>
      </c>
      <c r="C20" s="30" t="s">
        <v>10</v>
      </c>
      <c r="D20" s="44">
        <f t="shared" si="1"/>
        <v>1364900</v>
      </c>
      <c r="E20" s="45">
        <f t="shared" si="2"/>
        <v>2669804</v>
      </c>
      <c r="F20" s="46">
        <v>0.51</v>
      </c>
      <c r="G20" s="34"/>
      <c r="H20" s="47">
        <v>57</v>
      </c>
      <c r="I20" s="30" t="str">
        <f t="shared" si="4"/>
        <v>浪江町</v>
      </c>
      <c r="J20" s="253">
        <f t="shared" si="11"/>
        <v>2005839</v>
      </c>
      <c r="K20" s="254">
        <f t="shared" si="12"/>
        <v>4197629</v>
      </c>
      <c r="L20" s="255">
        <v>0.45</v>
      </c>
      <c r="M20" s="11"/>
      <c r="N20" s="36">
        <v>15</v>
      </c>
      <c r="O20" s="130" t="s">
        <v>12</v>
      </c>
      <c r="P20" s="131">
        <v>899191</v>
      </c>
      <c r="Q20" s="132">
        <v>953615</v>
      </c>
      <c r="R20" s="228">
        <v>940512</v>
      </c>
      <c r="S20" s="48">
        <v>2599051</v>
      </c>
      <c r="T20" s="49">
        <v>2645965</v>
      </c>
      <c r="U20" s="230">
        <v>2582052</v>
      </c>
      <c r="V20" s="50">
        <f t="shared" si="5"/>
        <v>0.35</v>
      </c>
      <c r="W20" s="51">
        <f t="shared" si="6"/>
        <v>0.36</v>
      </c>
      <c r="X20" s="51">
        <f t="shared" si="7"/>
        <v>0.36</v>
      </c>
      <c r="Y20" s="133">
        <f t="shared" si="8"/>
        <v>0.36</v>
      </c>
      <c r="Z20" s="52">
        <v>1198971</v>
      </c>
      <c r="AA20" s="53">
        <v>1637375</v>
      </c>
      <c r="AB20" s="54">
        <f t="shared" si="9"/>
        <v>2836346</v>
      </c>
      <c r="AC20" s="161">
        <v>157939</v>
      </c>
      <c r="AD20" s="162">
        <f t="shared" si="10"/>
        <v>5.6</v>
      </c>
    </row>
    <row r="21" spans="2:30" ht="14.25">
      <c r="B21" s="43">
        <v>15</v>
      </c>
      <c r="C21" s="30" t="s">
        <v>12</v>
      </c>
      <c r="D21" s="44">
        <f t="shared" si="1"/>
        <v>940512</v>
      </c>
      <c r="E21" s="45">
        <f t="shared" si="2"/>
        <v>2582052</v>
      </c>
      <c r="F21" s="46">
        <v>0.35</v>
      </c>
      <c r="G21" s="34"/>
      <c r="H21" s="47">
        <v>58</v>
      </c>
      <c r="I21" s="30" t="str">
        <f t="shared" si="4"/>
        <v>葛尾村</v>
      </c>
      <c r="J21" s="253">
        <f t="shared" si="11"/>
        <v>134101</v>
      </c>
      <c r="K21" s="254">
        <f t="shared" si="12"/>
        <v>898329</v>
      </c>
      <c r="L21" s="255">
        <v>0.14</v>
      </c>
      <c r="M21" s="11"/>
      <c r="N21" s="129">
        <v>16</v>
      </c>
      <c r="O21" s="130" t="s">
        <v>17</v>
      </c>
      <c r="P21" s="131">
        <v>1233953</v>
      </c>
      <c r="Q21" s="132">
        <v>1296277</v>
      </c>
      <c r="R21" s="228">
        <v>1323340</v>
      </c>
      <c r="S21" s="48">
        <v>3369660</v>
      </c>
      <c r="T21" s="49">
        <v>3382329</v>
      </c>
      <c r="U21" s="230">
        <v>3401740</v>
      </c>
      <c r="V21" s="50">
        <f t="shared" si="5"/>
        <v>0.37</v>
      </c>
      <c r="W21" s="51">
        <f t="shared" si="6"/>
        <v>0.38</v>
      </c>
      <c r="X21" s="51">
        <f t="shared" si="7"/>
        <v>0.39</v>
      </c>
      <c r="Y21" s="133">
        <f t="shared" si="8"/>
        <v>0.38</v>
      </c>
      <c r="Z21" s="52">
        <v>1684496</v>
      </c>
      <c r="AA21" s="53">
        <v>2072582</v>
      </c>
      <c r="AB21" s="54">
        <f t="shared" si="9"/>
        <v>3757078</v>
      </c>
      <c r="AC21" s="161">
        <v>79877</v>
      </c>
      <c r="AD21" s="162">
        <f t="shared" si="10"/>
        <v>2.1</v>
      </c>
    </row>
    <row r="22" spans="2:30" ht="14.25">
      <c r="B22" s="43">
        <v>16</v>
      </c>
      <c r="C22" s="30" t="s">
        <v>17</v>
      </c>
      <c r="D22" s="44">
        <f t="shared" si="1"/>
        <v>1323340</v>
      </c>
      <c r="E22" s="45">
        <f t="shared" si="2"/>
        <v>3401740</v>
      </c>
      <c r="F22" s="46">
        <v>0.37</v>
      </c>
      <c r="G22" s="34"/>
      <c r="H22" s="47">
        <v>59</v>
      </c>
      <c r="I22" s="30" t="str">
        <f t="shared" si="4"/>
        <v>新地町</v>
      </c>
      <c r="J22" s="253">
        <f t="shared" si="11"/>
        <v>1920907</v>
      </c>
      <c r="K22" s="254">
        <f t="shared" si="12"/>
        <v>2130841</v>
      </c>
      <c r="L22" s="255">
        <v>1.05</v>
      </c>
      <c r="M22" s="11"/>
      <c r="N22" s="36">
        <v>17</v>
      </c>
      <c r="O22" s="130" t="s">
        <v>18</v>
      </c>
      <c r="P22" s="131">
        <v>495826</v>
      </c>
      <c r="Q22" s="132">
        <v>515060</v>
      </c>
      <c r="R22" s="228">
        <v>554647</v>
      </c>
      <c r="S22" s="48">
        <v>1556280</v>
      </c>
      <c r="T22" s="49">
        <v>1607331</v>
      </c>
      <c r="U22" s="230">
        <v>1618245</v>
      </c>
      <c r="V22" s="50">
        <f t="shared" si="5"/>
        <v>0.32</v>
      </c>
      <c r="W22" s="51">
        <f t="shared" si="6"/>
        <v>0.32</v>
      </c>
      <c r="X22" s="51">
        <f t="shared" si="7"/>
        <v>0.34</v>
      </c>
      <c r="Y22" s="133">
        <f t="shared" si="8"/>
        <v>0.33</v>
      </c>
      <c r="Z22" s="52">
        <v>705941</v>
      </c>
      <c r="AA22" s="53">
        <v>1060830</v>
      </c>
      <c r="AB22" s="54">
        <f t="shared" si="9"/>
        <v>1766771</v>
      </c>
      <c r="AC22" s="161">
        <v>67581</v>
      </c>
      <c r="AD22" s="162">
        <f t="shared" si="10"/>
        <v>3.8</v>
      </c>
    </row>
    <row r="23" spans="2:30" ht="14.25">
      <c r="B23" s="43">
        <v>17</v>
      </c>
      <c r="C23" s="30" t="s">
        <v>20</v>
      </c>
      <c r="D23" s="44">
        <f t="shared" si="1"/>
        <v>554647</v>
      </c>
      <c r="E23" s="45">
        <f t="shared" si="2"/>
        <v>1618245</v>
      </c>
      <c r="F23" s="46">
        <v>0.56</v>
      </c>
      <c r="G23" s="34"/>
      <c r="H23" s="47">
        <v>60</v>
      </c>
      <c r="I23" s="30" t="str">
        <f t="shared" si="4"/>
        <v>飯舘村</v>
      </c>
      <c r="J23" s="253">
        <f t="shared" si="11"/>
        <v>604037</v>
      </c>
      <c r="K23" s="254">
        <f t="shared" si="12"/>
        <v>2450299</v>
      </c>
      <c r="L23" s="255">
        <v>0.24</v>
      </c>
      <c r="M23" s="11"/>
      <c r="N23" s="129">
        <v>18</v>
      </c>
      <c r="O23" s="130" t="s">
        <v>19</v>
      </c>
      <c r="P23" s="131">
        <v>732915</v>
      </c>
      <c r="Q23" s="132">
        <v>788747</v>
      </c>
      <c r="R23" s="228">
        <v>837417</v>
      </c>
      <c r="S23" s="48">
        <v>2024726</v>
      </c>
      <c r="T23" s="49">
        <v>2089180</v>
      </c>
      <c r="U23" s="230">
        <v>2049453</v>
      </c>
      <c r="V23" s="50">
        <f t="shared" si="5"/>
        <v>0.36</v>
      </c>
      <c r="W23" s="51">
        <f t="shared" si="6"/>
        <v>0.38</v>
      </c>
      <c r="X23" s="51">
        <f t="shared" si="7"/>
        <v>0.41</v>
      </c>
      <c r="Y23" s="133">
        <f t="shared" si="8"/>
        <v>0.38</v>
      </c>
      <c r="Z23" s="52">
        <v>1061173</v>
      </c>
      <c r="AA23" s="53">
        <v>1208531</v>
      </c>
      <c r="AB23" s="54">
        <f t="shared" si="9"/>
        <v>2269704</v>
      </c>
      <c r="AC23" s="161">
        <v>103501</v>
      </c>
      <c r="AD23" s="162">
        <f t="shared" si="10"/>
        <v>4.6</v>
      </c>
    </row>
    <row r="24" spans="2:30" ht="14.25">
      <c r="B24" s="43">
        <v>18</v>
      </c>
      <c r="C24" s="30" t="s">
        <v>21</v>
      </c>
      <c r="D24" s="44">
        <f t="shared" si="1"/>
        <v>837417</v>
      </c>
      <c r="E24" s="45">
        <f t="shared" si="2"/>
        <v>2049453</v>
      </c>
      <c r="F24" s="46">
        <v>0.31</v>
      </c>
      <c r="G24" s="34"/>
      <c r="H24" s="47"/>
      <c r="I24" s="30"/>
      <c r="J24" s="44"/>
      <c r="K24" s="45"/>
      <c r="L24" s="46"/>
      <c r="M24" s="11"/>
      <c r="N24" s="36">
        <v>19</v>
      </c>
      <c r="O24" s="130" t="s">
        <v>20</v>
      </c>
      <c r="P24" s="131">
        <v>1344512</v>
      </c>
      <c r="Q24" s="132">
        <v>1421621</v>
      </c>
      <c r="R24" s="228">
        <v>1494334</v>
      </c>
      <c r="S24" s="48">
        <v>2422619</v>
      </c>
      <c r="T24" s="49">
        <v>2443978</v>
      </c>
      <c r="U24" s="230">
        <v>2449780</v>
      </c>
      <c r="V24" s="50">
        <f t="shared" si="5"/>
        <v>0.55</v>
      </c>
      <c r="W24" s="51">
        <f t="shared" si="6"/>
        <v>0.58</v>
      </c>
      <c r="X24" s="51">
        <f t="shared" si="7"/>
        <v>0.61</v>
      </c>
      <c r="Y24" s="133">
        <f t="shared" si="8"/>
        <v>0.58</v>
      </c>
      <c r="Z24" s="52">
        <v>1924067</v>
      </c>
      <c r="AA24" s="53">
        <v>951256</v>
      </c>
      <c r="AB24" s="54">
        <f t="shared" si="9"/>
        <v>2875323</v>
      </c>
      <c r="AC24" s="161">
        <v>60438</v>
      </c>
      <c r="AD24" s="162">
        <f t="shared" si="10"/>
        <v>2.1</v>
      </c>
    </row>
    <row r="25" spans="2:30" ht="14.25">
      <c r="B25" s="43">
        <v>19</v>
      </c>
      <c r="C25" s="30" t="s">
        <v>23</v>
      </c>
      <c r="D25" s="44">
        <f t="shared" si="1"/>
        <v>1494334</v>
      </c>
      <c r="E25" s="45">
        <f t="shared" si="2"/>
        <v>2449780</v>
      </c>
      <c r="F25" s="46">
        <v>0.45</v>
      </c>
      <c r="G25" s="34"/>
      <c r="H25" s="47"/>
      <c r="I25" s="30"/>
      <c r="J25" s="44"/>
      <c r="K25" s="45"/>
      <c r="L25" s="46"/>
      <c r="M25" s="11"/>
      <c r="N25" s="129">
        <v>20</v>
      </c>
      <c r="O25" s="130" t="s">
        <v>21</v>
      </c>
      <c r="P25" s="131">
        <v>698633</v>
      </c>
      <c r="Q25" s="132">
        <v>715467</v>
      </c>
      <c r="R25" s="228">
        <v>705690</v>
      </c>
      <c r="S25" s="48">
        <v>2242336</v>
      </c>
      <c r="T25" s="49">
        <v>2292404</v>
      </c>
      <c r="U25" s="230">
        <v>2195224</v>
      </c>
      <c r="V25" s="50">
        <f t="shared" si="5"/>
        <v>0.31</v>
      </c>
      <c r="W25" s="51">
        <f t="shared" si="6"/>
        <v>0.31</v>
      </c>
      <c r="X25" s="51">
        <f t="shared" si="7"/>
        <v>0.32</v>
      </c>
      <c r="Y25" s="133">
        <f t="shared" si="8"/>
        <v>0.31</v>
      </c>
      <c r="Z25" s="52">
        <v>888083</v>
      </c>
      <c r="AA25" s="53">
        <v>1485780</v>
      </c>
      <c r="AB25" s="54">
        <f t="shared" si="9"/>
        <v>2373863</v>
      </c>
      <c r="AC25" s="161">
        <v>68418</v>
      </c>
      <c r="AD25" s="162">
        <f t="shared" si="10"/>
        <v>2.9</v>
      </c>
    </row>
    <row r="26" spans="2:30" ht="14.25">
      <c r="B26" s="43">
        <v>20</v>
      </c>
      <c r="C26" s="30" t="s">
        <v>25</v>
      </c>
      <c r="D26" s="44">
        <f t="shared" si="1"/>
        <v>705690</v>
      </c>
      <c r="E26" s="45">
        <f t="shared" si="2"/>
        <v>2195224</v>
      </c>
      <c r="F26" s="46">
        <v>0.59</v>
      </c>
      <c r="G26" s="34"/>
      <c r="H26" s="47"/>
      <c r="I26" s="30"/>
      <c r="J26" s="44"/>
      <c r="K26" s="45"/>
      <c r="L26" s="46"/>
      <c r="M26" s="11"/>
      <c r="N26" s="36">
        <v>21</v>
      </c>
      <c r="O26" s="130" t="s">
        <v>23</v>
      </c>
      <c r="P26" s="131">
        <v>1285468</v>
      </c>
      <c r="Q26" s="132">
        <v>1247722</v>
      </c>
      <c r="R26" s="228">
        <v>1219678</v>
      </c>
      <c r="S26" s="48">
        <v>2866360</v>
      </c>
      <c r="T26" s="49">
        <v>2823477</v>
      </c>
      <c r="U26" s="230">
        <v>2631907</v>
      </c>
      <c r="V26" s="50">
        <f t="shared" si="5"/>
        <v>0.45</v>
      </c>
      <c r="W26" s="51">
        <f t="shared" si="6"/>
        <v>0.44</v>
      </c>
      <c r="X26" s="51">
        <f t="shared" si="7"/>
        <v>0.46</v>
      </c>
      <c r="Y26" s="133">
        <f t="shared" si="8"/>
        <v>0.45</v>
      </c>
      <c r="Z26" s="52">
        <v>1576477</v>
      </c>
      <c r="AA26" s="53">
        <v>1392628</v>
      </c>
      <c r="AB26" s="54">
        <f t="shared" si="9"/>
        <v>2969105</v>
      </c>
      <c r="AC26" s="161">
        <v>193257</v>
      </c>
      <c r="AD26" s="162">
        <f t="shared" si="10"/>
        <v>6.5</v>
      </c>
    </row>
    <row r="27" spans="2:30" ht="14.25">
      <c r="B27" s="43">
        <v>21</v>
      </c>
      <c r="C27" s="30" t="s">
        <v>28</v>
      </c>
      <c r="D27" s="44">
        <f t="shared" si="1"/>
        <v>1219678</v>
      </c>
      <c r="E27" s="45">
        <f t="shared" si="2"/>
        <v>2631907</v>
      </c>
      <c r="F27" s="46">
        <v>0.33</v>
      </c>
      <c r="G27" s="34"/>
      <c r="H27" s="47"/>
      <c r="I27" s="30"/>
      <c r="J27" s="44"/>
      <c r="K27" s="45"/>
      <c r="L27" s="46"/>
      <c r="M27" s="11"/>
      <c r="N27" s="129">
        <v>22</v>
      </c>
      <c r="O27" s="130" t="s">
        <v>232</v>
      </c>
      <c r="P27" s="131">
        <v>470781</v>
      </c>
      <c r="Q27" s="132">
        <v>446259</v>
      </c>
      <c r="R27" s="228">
        <v>424218</v>
      </c>
      <c r="S27" s="48">
        <v>807819</v>
      </c>
      <c r="T27" s="49">
        <v>801363</v>
      </c>
      <c r="U27" s="230">
        <v>832690</v>
      </c>
      <c r="V27" s="50">
        <f t="shared" si="5"/>
        <v>0.58</v>
      </c>
      <c r="W27" s="51">
        <f t="shared" si="6"/>
        <v>0.56</v>
      </c>
      <c r="X27" s="51">
        <f t="shared" si="7"/>
        <v>0.51</v>
      </c>
      <c r="Y27" s="133">
        <f t="shared" si="8"/>
        <v>0.55</v>
      </c>
      <c r="Z27" s="52">
        <v>560225</v>
      </c>
      <c r="AA27" s="53">
        <v>407048</v>
      </c>
      <c r="AB27" s="54">
        <f t="shared" si="9"/>
        <v>967273</v>
      </c>
      <c r="AC27" s="161">
        <v>96702</v>
      </c>
      <c r="AD27" s="162">
        <f t="shared" si="10"/>
        <v>10</v>
      </c>
    </row>
    <row r="28" spans="2:30" ht="14.25">
      <c r="B28" s="43">
        <v>22</v>
      </c>
      <c r="C28" s="30" t="s">
        <v>233</v>
      </c>
      <c r="D28" s="44">
        <f t="shared" si="1"/>
        <v>424218</v>
      </c>
      <c r="E28" s="45">
        <f t="shared" si="2"/>
        <v>832690</v>
      </c>
      <c r="F28" s="46">
        <v>0.24</v>
      </c>
      <c r="G28" s="34"/>
      <c r="H28" s="47"/>
      <c r="I28" s="30"/>
      <c r="J28" s="44"/>
      <c r="K28" s="45"/>
      <c r="L28" s="46"/>
      <c r="M28" s="11"/>
      <c r="N28" s="36">
        <v>23</v>
      </c>
      <c r="O28" s="130" t="s">
        <v>28</v>
      </c>
      <c r="P28" s="131">
        <v>884867</v>
      </c>
      <c r="Q28" s="132">
        <v>838106</v>
      </c>
      <c r="R28" s="228">
        <v>845846</v>
      </c>
      <c r="S28" s="48">
        <v>2650654</v>
      </c>
      <c r="T28" s="49">
        <v>2719235</v>
      </c>
      <c r="U28" s="230">
        <v>2794893</v>
      </c>
      <c r="V28" s="50">
        <f t="shared" si="5"/>
        <v>0.33</v>
      </c>
      <c r="W28" s="51">
        <f t="shared" si="6"/>
        <v>0.31</v>
      </c>
      <c r="X28" s="51">
        <f t="shared" si="7"/>
        <v>0.3</v>
      </c>
      <c r="Y28" s="133">
        <f t="shared" si="8"/>
        <v>0.31</v>
      </c>
      <c r="Z28" s="52">
        <v>1088390</v>
      </c>
      <c r="AA28" s="53">
        <v>1944267</v>
      </c>
      <c r="AB28" s="54">
        <f t="shared" si="9"/>
        <v>3032657</v>
      </c>
      <c r="AC28" s="161">
        <v>72002</v>
      </c>
      <c r="AD28" s="162">
        <f t="shared" si="10"/>
        <v>2.4</v>
      </c>
    </row>
    <row r="29" spans="2:30" ht="14.25">
      <c r="B29" s="43">
        <v>23</v>
      </c>
      <c r="C29" s="30" t="s">
        <v>29</v>
      </c>
      <c r="D29" s="44">
        <f t="shared" si="1"/>
        <v>845846</v>
      </c>
      <c r="E29" s="45">
        <f t="shared" si="2"/>
        <v>2794893</v>
      </c>
      <c r="F29" s="46">
        <v>0.26</v>
      </c>
      <c r="G29" s="34"/>
      <c r="H29" s="47"/>
      <c r="I29" s="30"/>
      <c r="J29" s="44"/>
      <c r="K29" s="45"/>
      <c r="L29" s="46"/>
      <c r="M29" s="11"/>
      <c r="N29" s="129">
        <v>24</v>
      </c>
      <c r="O29" s="130" t="s">
        <v>233</v>
      </c>
      <c r="P29" s="131">
        <v>1767375</v>
      </c>
      <c r="Q29" s="132">
        <v>1793775</v>
      </c>
      <c r="R29" s="228">
        <v>1766818</v>
      </c>
      <c r="S29" s="48">
        <v>7712079</v>
      </c>
      <c r="T29" s="49">
        <v>6816449</v>
      </c>
      <c r="U29" s="230">
        <v>6706747</v>
      </c>
      <c r="V29" s="50">
        <f t="shared" si="5"/>
        <v>0.23</v>
      </c>
      <c r="W29" s="51">
        <f t="shared" si="6"/>
        <v>0.26</v>
      </c>
      <c r="X29" s="51">
        <f t="shared" si="7"/>
        <v>0.26</v>
      </c>
      <c r="Y29" s="133">
        <f t="shared" si="8"/>
        <v>0.25</v>
      </c>
      <c r="Z29" s="52">
        <v>2235179</v>
      </c>
      <c r="AA29" s="53">
        <v>5830821</v>
      </c>
      <c r="AB29" s="54">
        <f t="shared" si="9"/>
        <v>8066000</v>
      </c>
      <c r="AC29" s="161">
        <v>227138</v>
      </c>
      <c r="AD29" s="162">
        <f t="shared" si="10"/>
        <v>2.8</v>
      </c>
    </row>
    <row r="30" spans="2:30" ht="14.25">
      <c r="B30" s="43">
        <v>24</v>
      </c>
      <c r="C30" s="30" t="s">
        <v>30</v>
      </c>
      <c r="D30" s="44">
        <f t="shared" si="1"/>
        <v>1766818</v>
      </c>
      <c r="E30" s="45">
        <f t="shared" si="2"/>
        <v>6706747</v>
      </c>
      <c r="F30" s="46">
        <v>0.23</v>
      </c>
      <c r="G30" s="34"/>
      <c r="H30" s="47"/>
      <c r="I30" s="30"/>
      <c r="J30" s="44"/>
      <c r="K30" s="45"/>
      <c r="L30" s="46"/>
      <c r="M30" s="11"/>
      <c r="N30" s="36">
        <v>25</v>
      </c>
      <c r="O30" s="130" t="s">
        <v>29</v>
      </c>
      <c r="P30" s="131">
        <v>507589</v>
      </c>
      <c r="Q30" s="132">
        <v>394965</v>
      </c>
      <c r="R30" s="228">
        <v>483365</v>
      </c>
      <c r="S30" s="48">
        <v>1969806</v>
      </c>
      <c r="T30" s="49">
        <v>1897953</v>
      </c>
      <c r="U30" s="230">
        <v>1768809</v>
      </c>
      <c r="V30" s="50">
        <f t="shared" si="5"/>
        <v>0.26</v>
      </c>
      <c r="W30" s="51">
        <f t="shared" si="6"/>
        <v>0.21</v>
      </c>
      <c r="X30" s="51">
        <f t="shared" si="7"/>
        <v>0.27</v>
      </c>
      <c r="Y30" s="133">
        <f t="shared" si="8"/>
        <v>0.25</v>
      </c>
      <c r="Z30" s="52">
        <v>624326</v>
      </c>
      <c r="AA30" s="53">
        <v>1282419</v>
      </c>
      <c r="AB30" s="54">
        <f t="shared" si="9"/>
        <v>1906745</v>
      </c>
      <c r="AC30" s="161">
        <v>92199</v>
      </c>
      <c r="AD30" s="162">
        <f t="shared" si="10"/>
        <v>4.8</v>
      </c>
    </row>
    <row r="31" spans="2:30" ht="14.25">
      <c r="B31" s="43">
        <v>25</v>
      </c>
      <c r="C31" s="30" t="s">
        <v>31</v>
      </c>
      <c r="D31" s="44">
        <f t="shared" si="1"/>
        <v>483365</v>
      </c>
      <c r="E31" s="45">
        <f t="shared" si="2"/>
        <v>1768809</v>
      </c>
      <c r="F31" s="46">
        <v>0.38</v>
      </c>
      <c r="G31" s="34"/>
      <c r="H31" s="47"/>
      <c r="I31" s="30"/>
      <c r="J31" s="44"/>
      <c r="K31" s="45"/>
      <c r="L31" s="46"/>
      <c r="M31" s="11"/>
      <c r="N31" s="129">
        <v>26</v>
      </c>
      <c r="O31" s="130" t="s">
        <v>30</v>
      </c>
      <c r="P31" s="131">
        <v>736453</v>
      </c>
      <c r="Q31" s="132">
        <v>735877</v>
      </c>
      <c r="R31" s="228">
        <v>721378</v>
      </c>
      <c r="S31" s="48">
        <v>3233591</v>
      </c>
      <c r="T31" s="49">
        <v>3198071</v>
      </c>
      <c r="U31" s="230">
        <v>3114562</v>
      </c>
      <c r="V31" s="50">
        <f t="shared" si="5"/>
        <v>0.23</v>
      </c>
      <c r="W31" s="51">
        <f t="shared" si="6"/>
        <v>0.23</v>
      </c>
      <c r="X31" s="51">
        <f t="shared" si="7"/>
        <v>0.23</v>
      </c>
      <c r="Y31" s="133">
        <f t="shared" si="8"/>
        <v>0.23</v>
      </c>
      <c r="Z31" s="52">
        <v>906579</v>
      </c>
      <c r="AA31" s="53">
        <v>2387857</v>
      </c>
      <c r="AB31" s="54">
        <f t="shared" si="9"/>
        <v>3294436</v>
      </c>
      <c r="AC31" s="161">
        <v>74693</v>
      </c>
      <c r="AD31" s="162">
        <f t="shared" si="10"/>
        <v>2.3</v>
      </c>
    </row>
    <row r="32" spans="2:30" ht="14.25">
      <c r="B32" s="43">
        <v>26</v>
      </c>
      <c r="C32" s="30" t="s">
        <v>32</v>
      </c>
      <c r="D32" s="44">
        <f t="shared" si="1"/>
        <v>721378</v>
      </c>
      <c r="E32" s="45">
        <f t="shared" si="2"/>
        <v>3114562</v>
      </c>
      <c r="F32" s="46">
        <v>0.44</v>
      </c>
      <c r="G32" s="34"/>
      <c r="H32" s="47"/>
      <c r="I32" s="30"/>
      <c r="J32" s="44"/>
      <c r="K32" s="45"/>
      <c r="L32" s="46"/>
      <c r="M32" s="11"/>
      <c r="N32" s="36">
        <v>27</v>
      </c>
      <c r="O32" s="130" t="s">
        <v>31</v>
      </c>
      <c r="P32" s="131">
        <v>585215</v>
      </c>
      <c r="Q32" s="132">
        <v>602125</v>
      </c>
      <c r="R32" s="228">
        <v>764644</v>
      </c>
      <c r="S32" s="48">
        <v>1555654</v>
      </c>
      <c r="T32" s="49">
        <v>1568333</v>
      </c>
      <c r="U32" s="230">
        <v>1630170</v>
      </c>
      <c r="V32" s="50">
        <f t="shared" si="5"/>
        <v>0.38</v>
      </c>
      <c r="W32" s="51">
        <f t="shared" si="6"/>
        <v>0.38</v>
      </c>
      <c r="X32" s="51">
        <f t="shared" si="7"/>
        <v>0.47</v>
      </c>
      <c r="Y32" s="133">
        <f t="shared" si="8"/>
        <v>0.41</v>
      </c>
      <c r="Z32" s="52">
        <v>996960</v>
      </c>
      <c r="AA32" s="53">
        <v>861861</v>
      </c>
      <c r="AB32" s="54">
        <f t="shared" si="9"/>
        <v>1858821</v>
      </c>
      <c r="AC32" s="161">
        <v>124381</v>
      </c>
      <c r="AD32" s="162">
        <f t="shared" si="10"/>
        <v>6.7</v>
      </c>
    </row>
    <row r="33" spans="2:30" ht="14.25">
      <c r="B33" s="43">
        <v>27</v>
      </c>
      <c r="C33" s="30" t="s">
        <v>33</v>
      </c>
      <c r="D33" s="44">
        <f t="shared" si="1"/>
        <v>764644</v>
      </c>
      <c r="E33" s="45">
        <f t="shared" si="2"/>
        <v>1630170</v>
      </c>
      <c r="F33" s="46">
        <v>0.37</v>
      </c>
      <c r="G33" s="34"/>
      <c r="H33" s="47"/>
      <c r="I33" s="30"/>
      <c r="J33" s="44"/>
      <c r="K33" s="45"/>
      <c r="L33" s="46"/>
      <c r="M33" s="11"/>
      <c r="N33" s="129">
        <v>28</v>
      </c>
      <c r="O33" s="130" t="s">
        <v>32</v>
      </c>
      <c r="P33" s="131">
        <v>1912159</v>
      </c>
      <c r="Q33" s="132">
        <v>1880605</v>
      </c>
      <c r="R33" s="228">
        <v>1876624</v>
      </c>
      <c r="S33" s="48">
        <v>4293343</v>
      </c>
      <c r="T33" s="49">
        <v>4342938</v>
      </c>
      <c r="U33" s="230">
        <v>4273182</v>
      </c>
      <c r="V33" s="50">
        <f t="shared" si="5"/>
        <v>0.45</v>
      </c>
      <c r="W33" s="51">
        <f t="shared" si="6"/>
        <v>0.43</v>
      </c>
      <c r="X33" s="51">
        <f t="shared" si="7"/>
        <v>0.44</v>
      </c>
      <c r="Y33" s="133">
        <f t="shared" si="8"/>
        <v>0.44</v>
      </c>
      <c r="Z33" s="52">
        <v>2423791</v>
      </c>
      <c r="AA33" s="53">
        <v>2389250</v>
      </c>
      <c r="AB33" s="54">
        <f t="shared" si="9"/>
        <v>4813041</v>
      </c>
      <c r="AC33" s="161">
        <v>133445</v>
      </c>
      <c r="AD33" s="162">
        <f t="shared" si="10"/>
        <v>2.8</v>
      </c>
    </row>
    <row r="34" spans="2:30" ht="14.25">
      <c r="B34" s="43">
        <v>28</v>
      </c>
      <c r="C34" s="30" t="s">
        <v>34</v>
      </c>
      <c r="D34" s="44">
        <f t="shared" si="1"/>
        <v>1876624</v>
      </c>
      <c r="E34" s="45">
        <f t="shared" si="2"/>
        <v>4273182</v>
      </c>
      <c r="F34" s="46">
        <v>0.24</v>
      </c>
      <c r="G34" s="34"/>
      <c r="H34" s="47"/>
      <c r="I34" s="30"/>
      <c r="J34" s="44"/>
      <c r="K34" s="45"/>
      <c r="L34" s="46"/>
      <c r="M34" s="11"/>
      <c r="N34" s="36">
        <v>29</v>
      </c>
      <c r="O34" s="130" t="s">
        <v>33</v>
      </c>
      <c r="P34" s="131">
        <v>1481950</v>
      </c>
      <c r="Q34" s="132">
        <v>1505559</v>
      </c>
      <c r="R34" s="228">
        <v>1513458</v>
      </c>
      <c r="S34" s="48">
        <v>3957075</v>
      </c>
      <c r="T34" s="49">
        <v>3951553</v>
      </c>
      <c r="U34" s="230">
        <v>3835959</v>
      </c>
      <c r="V34" s="50">
        <f t="shared" si="5"/>
        <v>0.37</v>
      </c>
      <c r="W34" s="51">
        <f t="shared" si="6"/>
        <v>0.38</v>
      </c>
      <c r="X34" s="51">
        <f t="shared" si="7"/>
        <v>0.39</v>
      </c>
      <c r="Y34" s="133">
        <f t="shared" si="8"/>
        <v>0.38</v>
      </c>
      <c r="Z34" s="52">
        <v>1937743</v>
      </c>
      <c r="AA34" s="53">
        <v>2316338</v>
      </c>
      <c r="AB34" s="54">
        <f t="shared" si="9"/>
        <v>4254081</v>
      </c>
      <c r="AC34" s="161">
        <v>228277</v>
      </c>
      <c r="AD34" s="162">
        <f t="shared" si="10"/>
        <v>5.4</v>
      </c>
    </row>
    <row r="35" spans="2:30" ht="14.25">
      <c r="B35" s="43">
        <v>29</v>
      </c>
      <c r="C35" s="30" t="s">
        <v>35</v>
      </c>
      <c r="D35" s="44">
        <f t="shared" si="1"/>
        <v>1513458</v>
      </c>
      <c r="E35" s="45">
        <f t="shared" si="2"/>
        <v>3835959</v>
      </c>
      <c r="F35" s="46">
        <v>0.22</v>
      </c>
      <c r="G35" s="34"/>
      <c r="H35" s="47"/>
      <c r="I35" s="30"/>
      <c r="J35" s="44"/>
      <c r="K35" s="45"/>
      <c r="L35" s="46"/>
      <c r="M35" s="11"/>
      <c r="N35" s="129">
        <v>30</v>
      </c>
      <c r="O35" s="130" t="s">
        <v>34</v>
      </c>
      <c r="P35" s="131">
        <v>281825</v>
      </c>
      <c r="Q35" s="132">
        <v>338002</v>
      </c>
      <c r="R35" s="228">
        <v>316647</v>
      </c>
      <c r="S35" s="48">
        <v>1257943</v>
      </c>
      <c r="T35" s="49">
        <v>1242114</v>
      </c>
      <c r="U35" s="230">
        <v>1268036</v>
      </c>
      <c r="V35" s="50">
        <f t="shared" si="5"/>
        <v>0.22</v>
      </c>
      <c r="W35" s="51">
        <f t="shared" si="6"/>
        <v>0.27</v>
      </c>
      <c r="X35" s="51">
        <f t="shared" si="7"/>
        <v>0.25</v>
      </c>
      <c r="Y35" s="133">
        <f t="shared" si="8"/>
        <v>0.25</v>
      </c>
      <c r="Z35" s="52">
        <v>400492</v>
      </c>
      <c r="AA35" s="53">
        <v>949220</v>
      </c>
      <c r="AB35" s="54">
        <f t="shared" si="9"/>
        <v>1349712</v>
      </c>
      <c r="AC35" s="161">
        <v>83991</v>
      </c>
      <c r="AD35" s="162">
        <f t="shared" si="10"/>
        <v>6.2</v>
      </c>
    </row>
    <row r="36" spans="2:30" ht="14.25">
      <c r="B36" s="43">
        <v>30</v>
      </c>
      <c r="C36" s="30" t="s">
        <v>36</v>
      </c>
      <c r="D36" s="44">
        <f t="shared" si="1"/>
        <v>316647</v>
      </c>
      <c r="E36" s="45">
        <f t="shared" si="2"/>
        <v>1268036</v>
      </c>
      <c r="F36" s="46">
        <v>0.16</v>
      </c>
      <c r="G36" s="34"/>
      <c r="H36" s="47"/>
      <c r="I36" s="30"/>
      <c r="J36" s="44"/>
      <c r="K36" s="45"/>
      <c r="L36" s="46"/>
      <c r="M36" s="11"/>
      <c r="N36" s="36">
        <v>31</v>
      </c>
      <c r="O36" s="130" t="s">
        <v>35</v>
      </c>
      <c r="P36" s="131">
        <v>481442</v>
      </c>
      <c r="Q36" s="132">
        <v>474304</v>
      </c>
      <c r="R36" s="228">
        <v>449868</v>
      </c>
      <c r="S36" s="48">
        <v>2166188</v>
      </c>
      <c r="T36" s="49">
        <v>2179751</v>
      </c>
      <c r="U36" s="230">
        <v>2128592</v>
      </c>
      <c r="V36" s="50">
        <f t="shared" si="5"/>
        <v>0.22</v>
      </c>
      <c r="W36" s="51">
        <f t="shared" si="6"/>
        <v>0.22</v>
      </c>
      <c r="X36" s="51">
        <f t="shared" si="7"/>
        <v>0.21</v>
      </c>
      <c r="Y36" s="133">
        <f t="shared" si="8"/>
        <v>0.22</v>
      </c>
      <c r="Z36" s="52">
        <v>567221</v>
      </c>
      <c r="AA36" s="53">
        <v>1675084</v>
      </c>
      <c r="AB36" s="54">
        <f t="shared" si="9"/>
        <v>2242305</v>
      </c>
      <c r="AC36" s="161">
        <v>215029</v>
      </c>
      <c r="AD36" s="162">
        <f t="shared" si="10"/>
        <v>9.6</v>
      </c>
    </row>
    <row r="37" spans="2:30" ht="14.25">
      <c r="B37" s="43">
        <v>31</v>
      </c>
      <c r="C37" s="30" t="s">
        <v>37</v>
      </c>
      <c r="D37" s="44">
        <f t="shared" si="1"/>
        <v>449868</v>
      </c>
      <c r="E37" s="45">
        <f t="shared" si="2"/>
        <v>2128592</v>
      </c>
      <c r="F37" s="46">
        <v>0.24</v>
      </c>
      <c r="G37" s="34"/>
      <c r="H37" s="47"/>
      <c r="I37" s="30"/>
      <c r="J37" s="44"/>
      <c r="K37" s="45"/>
      <c r="L37" s="46"/>
      <c r="M37" s="11"/>
      <c r="N37" s="129">
        <v>32</v>
      </c>
      <c r="O37" s="130" t="s">
        <v>36</v>
      </c>
      <c r="P37" s="131">
        <v>175482</v>
      </c>
      <c r="Q37" s="132">
        <v>171546</v>
      </c>
      <c r="R37" s="228">
        <v>166999</v>
      </c>
      <c r="S37" s="48">
        <v>1099858</v>
      </c>
      <c r="T37" s="49">
        <v>1087038</v>
      </c>
      <c r="U37" s="230">
        <v>1140020</v>
      </c>
      <c r="V37" s="50">
        <f t="shared" si="5"/>
        <v>0.16</v>
      </c>
      <c r="W37" s="51">
        <f t="shared" si="6"/>
        <v>0.16</v>
      </c>
      <c r="X37" s="51">
        <f t="shared" si="7"/>
        <v>0.15</v>
      </c>
      <c r="Y37" s="133">
        <f t="shared" si="8"/>
        <v>0.16</v>
      </c>
      <c r="Z37" s="52">
        <v>212637</v>
      </c>
      <c r="AA37" s="53">
        <v>970825</v>
      </c>
      <c r="AB37" s="54">
        <f t="shared" si="9"/>
        <v>1183462</v>
      </c>
      <c r="AC37" s="161">
        <v>85192</v>
      </c>
      <c r="AD37" s="162">
        <f t="shared" si="10"/>
        <v>7.2</v>
      </c>
    </row>
    <row r="38" spans="2:30" ht="14.25">
      <c r="B38" s="43">
        <v>32</v>
      </c>
      <c r="C38" s="30" t="s">
        <v>38</v>
      </c>
      <c r="D38" s="44">
        <f t="shared" si="1"/>
        <v>166999</v>
      </c>
      <c r="E38" s="45">
        <f t="shared" si="2"/>
        <v>1140020</v>
      </c>
      <c r="F38" s="46">
        <v>0.11</v>
      </c>
      <c r="G38" s="34"/>
      <c r="H38" s="47"/>
      <c r="I38" s="30"/>
      <c r="J38" s="44"/>
      <c r="K38" s="45"/>
      <c r="L38" s="46"/>
      <c r="M38" s="11"/>
      <c r="N38" s="36">
        <v>33</v>
      </c>
      <c r="O38" s="130" t="s">
        <v>37</v>
      </c>
      <c r="P38" s="131">
        <v>391586</v>
      </c>
      <c r="Q38" s="132">
        <v>384286</v>
      </c>
      <c r="R38" s="228">
        <v>379356</v>
      </c>
      <c r="S38" s="48">
        <v>1617323</v>
      </c>
      <c r="T38" s="49">
        <v>1618467</v>
      </c>
      <c r="U38" s="230">
        <v>1619989</v>
      </c>
      <c r="V38" s="50">
        <f t="shared" si="5"/>
        <v>0.24</v>
      </c>
      <c r="W38" s="51">
        <f t="shared" si="6"/>
        <v>0.24</v>
      </c>
      <c r="X38" s="51">
        <f t="shared" si="7"/>
        <v>0.23</v>
      </c>
      <c r="Y38" s="133">
        <f t="shared" si="8"/>
        <v>0.24</v>
      </c>
      <c r="Z38" s="52">
        <v>487268</v>
      </c>
      <c r="AA38" s="53">
        <v>1237862</v>
      </c>
      <c r="AB38" s="54">
        <f t="shared" si="9"/>
        <v>1725130</v>
      </c>
      <c r="AC38" s="161">
        <v>69815</v>
      </c>
      <c r="AD38" s="162">
        <f t="shared" si="10"/>
        <v>4</v>
      </c>
    </row>
    <row r="39" spans="2:30" ht="14.25">
      <c r="B39" s="43">
        <v>33</v>
      </c>
      <c r="C39" s="30" t="s">
        <v>234</v>
      </c>
      <c r="D39" s="44">
        <f t="shared" si="1"/>
        <v>379356</v>
      </c>
      <c r="E39" s="45">
        <f t="shared" si="2"/>
        <v>1619989</v>
      </c>
      <c r="F39" s="46">
        <v>0.26</v>
      </c>
      <c r="G39" s="34"/>
      <c r="H39" s="47"/>
      <c r="I39" s="30"/>
      <c r="J39" s="44"/>
      <c r="K39" s="45"/>
      <c r="L39" s="46"/>
      <c r="M39" s="11"/>
      <c r="N39" s="129">
        <v>34</v>
      </c>
      <c r="O39" s="130" t="s">
        <v>38</v>
      </c>
      <c r="P39" s="131">
        <v>132569</v>
      </c>
      <c r="Q39" s="132">
        <v>132976</v>
      </c>
      <c r="R39" s="228">
        <v>128322</v>
      </c>
      <c r="S39" s="48">
        <v>1248830</v>
      </c>
      <c r="T39" s="49">
        <v>1209986</v>
      </c>
      <c r="U39" s="230">
        <v>1201760</v>
      </c>
      <c r="V39" s="50">
        <f t="shared" si="5"/>
        <v>0.11</v>
      </c>
      <c r="W39" s="51">
        <f t="shared" si="6"/>
        <v>0.11</v>
      </c>
      <c r="X39" s="51">
        <f t="shared" si="7"/>
        <v>0.11</v>
      </c>
      <c r="Y39" s="133">
        <f t="shared" si="8"/>
        <v>0.11</v>
      </c>
      <c r="Z39" s="52">
        <v>154764</v>
      </c>
      <c r="AA39" s="53">
        <v>1071333</v>
      </c>
      <c r="AB39" s="54">
        <f t="shared" si="9"/>
        <v>1226097</v>
      </c>
      <c r="AC39" s="161">
        <v>17183</v>
      </c>
      <c r="AD39" s="162">
        <f t="shared" si="10"/>
        <v>1.4</v>
      </c>
    </row>
    <row r="40" spans="2:30" ht="14.25">
      <c r="B40" s="43">
        <v>34</v>
      </c>
      <c r="C40" s="30" t="s">
        <v>39</v>
      </c>
      <c r="D40" s="44">
        <f t="shared" si="1"/>
        <v>128322</v>
      </c>
      <c r="E40" s="45">
        <f t="shared" si="2"/>
        <v>1201760</v>
      </c>
      <c r="F40" s="46">
        <v>0.98</v>
      </c>
      <c r="G40" s="34"/>
      <c r="H40" s="47"/>
      <c r="I40" s="30"/>
      <c r="J40" s="44"/>
      <c r="K40" s="45"/>
      <c r="L40" s="46"/>
      <c r="M40" s="11"/>
      <c r="N40" s="36">
        <v>35</v>
      </c>
      <c r="O40" s="130" t="s">
        <v>234</v>
      </c>
      <c r="P40" s="131">
        <v>1590198</v>
      </c>
      <c r="Q40" s="132">
        <v>1669162</v>
      </c>
      <c r="R40" s="228">
        <v>1655126</v>
      </c>
      <c r="S40" s="48">
        <v>6322611</v>
      </c>
      <c r="T40" s="49">
        <v>5672637</v>
      </c>
      <c r="U40" s="230">
        <v>5614793</v>
      </c>
      <c r="V40" s="50">
        <f t="shared" si="5"/>
        <v>0.25</v>
      </c>
      <c r="W40" s="51">
        <f t="shared" si="6"/>
        <v>0.29</v>
      </c>
      <c r="X40" s="51">
        <f t="shared" si="7"/>
        <v>0.29</v>
      </c>
      <c r="Y40" s="133">
        <f t="shared" si="8"/>
        <v>0.28</v>
      </c>
      <c r="Z40" s="52">
        <v>2093245</v>
      </c>
      <c r="AA40" s="53">
        <v>4702994</v>
      </c>
      <c r="AB40" s="54">
        <f t="shared" si="9"/>
        <v>6796239</v>
      </c>
      <c r="AC40" s="161">
        <v>190656</v>
      </c>
      <c r="AD40" s="162">
        <f t="shared" si="10"/>
        <v>2.8</v>
      </c>
    </row>
    <row r="41" spans="2:30" ht="14.25">
      <c r="B41" s="43">
        <v>35</v>
      </c>
      <c r="C41" s="30" t="s">
        <v>40</v>
      </c>
      <c r="D41" s="44">
        <f t="shared" si="1"/>
        <v>1655126</v>
      </c>
      <c r="E41" s="45">
        <f t="shared" si="2"/>
        <v>5614793</v>
      </c>
      <c r="F41" s="46">
        <v>0.63</v>
      </c>
      <c r="G41" s="34"/>
      <c r="H41" s="47"/>
      <c r="I41" s="30"/>
      <c r="J41" s="44"/>
      <c r="K41" s="45"/>
      <c r="L41" s="46"/>
      <c r="M41" s="11"/>
      <c r="N41" s="129">
        <v>36</v>
      </c>
      <c r="O41" s="130" t="s">
        <v>39</v>
      </c>
      <c r="P41" s="131">
        <v>3733457</v>
      </c>
      <c r="Q41" s="132">
        <v>4192254</v>
      </c>
      <c r="R41" s="228">
        <v>5020425</v>
      </c>
      <c r="S41" s="48">
        <v>3543499</v>
      </c>
      <c r="T41" s="49">
        <v>3706131</v>
      </c>
      <c r="U41" s="230">
        <v>3727734</v>
      </c>
      <c r="V41" s="50">
        <f t="shared" si="5"/>
        <v>1.05</v>
      </c>
      <c r="W41" s="51">
        <f t="shared" si="6"/>
        <v>1.13</v>
      </c>
      <c r="X41" s="51">
        <f t="shared" si="7"/>
        <v>1.35</v>
      </c>
      <c r="Y41" s="133">
        <f t="shared" si="8"/>
        <v>1.18</v>
      </c>
      <c r="Z41" s="52">
        <v>6573696</v>
      </c>
      <c r="AA41" s="53">
        <v>0</v>
      </c>
      <c r="AB41" s="54">
        <f t="shared" si="9"/>
        <v>6573696</v>
      </c>
      <c r="AC41" s="161">
        <v>195571</v>
      </c>
      <c r="AD41" s="162">
        <f t="shared" si="10"/>
        <v>3</v>
      </c>
    </row>
    <row r="42" spans="2:30" ht="14.25">
      <c r="B42" s="43">
        <v>36</v>
      </c>
      <c r="C42" s="30" t="s">
        <v>41</v>
      </c>
      <c r="D42" s="44">
        <f t="shared" si="1"/>
        <v>5020425</v>
      </c>
      <c r="E42" s="45">
        <f t="shared" si="2"/>
        <v>3727734</v>
      </c>
      <c r="F42" s="46">
        <v>0.31</v>
      </c>
      <c r="G42" s="34"/>
      <c r="H42" s="47"/>
      <c r="I42" s="30"/>
      <c r="J42" s="44"/>
      <c r="K42" s="45"/>
      <c r="L42" s="46"/>
      <c r="M42" s="11"/>
      <c r="N42" s="36">
        <v>37</v>
      </c>
      <c r="O42" s="130" t="s">
        <v>40</v>
      </c>
      <c r="P42" s="131">
        <v>1098728</v>
      </c>
      <c r="Q42" s="132">
        <v>1136720</v>
      </c>
      <c r="R42" s="228">
        <v>1164496</v>
      </c>
      <c r="S42" s="48">
        <v>1770262</v>
      </c>
      <c r="T42" s="49">
        <v>1786147</v>
      </c>
      <c r="U42" s="230">
        <v>1818071</v>
      </c>
      <c r="V42" s="50">
        <f t="shared" si="5"/>
        <v>0.62</v>
      </c>
      <c r="W42" s="51">
        <f t="shared" si="6"/>
        <v>0.64</v>
      </c>
      <c r="X42" s="51">
        <f t="shared" si="7"/>
        <v>0.64</v>
      </c>
      <c r="Y42" s="133">
        <f t="shared" si="8"/>
        <v>0.63</v>
      </c>
      <c r="Z42" s="52">
        <v>1513818</v>
      </c>
      <c r="AA42" s="53">
        <v>650466</v>
      </c>
      <c r="AB42" s="54">
        <f t="shared" si="9"/>
        <v>2164284</v>
      </c>
      <c r="AC42" s="161">
        <v>37234</v>
      </c>
      <c r="AD42" s="162">
        <f t="shared" si="10"/>
        <v>1.7</v>
      </c>
    </row>
    <row r="43" spans="2:30" ht="14.25">
      <c r="B43" s="43">
        <v>37</v>
      </c>
      <c r="C43" s="30" t="s">
        <v>42</v>
      </c>
      <c r="D43" s="44">
        <f t="shared" si="1"/>
        <v>1164496</v>
      </c>
      <c r="E43" s="45">
        <f t="shared" si="2"/>
        <v>1818071</v>
      </c>
      <c r="F43" s="46">
        <v>0.51</v>
      </c>
      <c r="G43" s="34"/>
      <c r="H43" s="47"/>
      <c r="I43" s="30"/>
      <c r="J43" s="44"/>
      <c r="K43" s="45"/>
      <c r="L43" s="46"/>
      <c r="M43" s="11"/>
      <c r="N43" s="129">
        <v>38</v>
      </c>
      <c r="O43" s="130" t="s">
        <v>41</v>
      </c>
      <c r="P43" s="131">
        <v>475542</v>
      </c>
      <c r="Q43" s="132">
        <v>425458</v>
      </c>
      <c r="R43" s="228">
        <v>455890</v>
      </c>
      <c r="S43" s="48">
        <v>1408530</v>
      </c>
      <c r="T43" s="49">
        <v>1458652</v>
      </c>
      <c r="U43" s="230">
        <v>1410141</v>
      </c>
      <c r="V43" s="50">
        <f t="shared" si="5"/>
        <v>0.34</v>
      </c>
      <c r="W43" s="51">
        <f t="shared" si="6"/>
        <v>0.29</v>
      </c>
      <c r="X43" s="51">
        <f t="shared" si="7"/>
        <v>0.32</v>
      </c>
      <c r="Y43" s="133">
        <f t="shared" si="8"/>
        <v>0.32</v>
      </c>
      <c r="Z43" s="52">
        <v>580555</v>
      </c>
      <c r="AA43" s="53">
        <v>951839</v>
      </c>
      <c r="AB43" s="54">
        <f t="shared" si="9"/>
        <v>1532394</v>
      </c>
      <c r="AC43" s="161">
        <v>113655</v>
      </c>
      <c r="AD43" s="162">
        <f t="shared" si="10"/>
        <v>7.4</v>
      </c>
    </row>
    <row r="44" spans="2:30" ht="14.25">
      <c r="B44" s="43">
        <v>38</v>
      </c>
      <c r="C44" s="30" t="s">
        <v>43</v>
      </c>
      <c r="D44" s="44">
        <f t="shared" si="1"/>
        <v>455890</v>
      </c>
      <c r="E44" s="45">
        <f t="shared" si="2"/>
        <v>1410141</v>
      </c>
      <c r="F44" s="46">
        <v>0.58</v>
      </c>
      <c r="G44" s="34"/>
      <c r="H44" s="47"/>
      <c r="I44" s="30"/>
      <c r="J44" s="44"/>
      <c r="K44" s="45"/>
      <c r="L44" s="46"/>
      <c r="M44" s="11"/>
      <c r="N44" s="36">
        <v>39</v>
      </c>
      <c r="O44" s="130" t="s">
        <v>42</v>
      </c>
      <c r="P44" s="131">
        <v>1850957</v>
      </c>
      <c r="Q44" s="132">
        <v>1931014</v>
      </c>
      <c r="R44" s="228">
        <v>1954541</v>
      </c>
      <c r="S44" s="48">
        <v>3566401</v>
      </c>
      <c r="T44" s="49">
        <v>3698288</v>
      </c>
      <c r="U44" s="230">
        <v>3679600</v>
      </c>
      <c r="V44" s="50">
        <f t="shared" si="5"/>
        <v>0.52</v>
      </c>
      <c r="W44" s="51">
        <f t="shared" si="6"/>
        <v>0.52</v>
      </c>
      <c r="X44" s="51">
        <f t="shared" si="7"/>
        <v>0.53</v>
      </c>
      <c r="Y44" s="133">
        <f t="shared" si="8"/>
        <v>0.52</v>
      </c>
      <c r="Z44" s="52">
        <v>2506932</v>
      </c>
      <c r="AA44" s="53">
        <v>1694090</v>
      </c>
      <c r="AB44" s="54">
        <f t="shared" si="9"/>
        <v>4201022</v>
      </c>
      <c r="AC44" s="161">
        <v>147990</v>
      </c>
      <c r="AD44" s="162">
        <f t="shared" si="10"/>
        <v>3.5</v>
      </c>
    </row>
    <row r="45" spans="2:30" ht="14.25">
      <c r="B45" s="43">
        <v>39</v>
      </c>
      <c r="C45" s="30" t="s">
        <v>44</v>
      </c>
      <c r="D45" s="44">
        <f t="shared" si="1"/>
        <v>1954541</v>
      </c>
      <c r="E45" s="45">
        <f t="shared" si="2"/>
        <v>3679600</v>
      </c>
      <c r="F45" s="46">
        <v>0.32</v>
      </c>
      <c r="G45" s="34"/>
      <c r="H45" s="47"/>
      <c r="I45" s="30"/>
      <c r="J45" s="44"/>
      <c r="K45" s="45"/>
      <c r="L45" s="46"/>
      <c r="M45" s="11"/>
      <c r="N45" s="129">
        <v>40</v>
      </c>
      <c r="O45" s="130" t="s">
        <v>43</v>
      </c>
      <c r="P45" s="131">
        <v>1706899</v>
      </c>
      <c r="Q45" s="132">
        <v>1870507</v>
      </c>
      <c r="R45" s="228">
        <v>1828427</v>
      </c>
      <c r="S45" s="48">
        <v>3050635</v>
      </c>
      <c r="T45" s="49">
        <v>2960018</v>
      </c>
      <c r="U45" s="230">
        <v>2912960</v>
      </c>
      <c r="V45" s="50">
        <f t="shared" si="5"/>
        <v>0.56</v>
      </c>
      <c r="W45" s="51">
        <f t="shared" si="6"/>
        <v>0.63</v>
      </c>
      <c r="X45" s="51">
        <f t="shared" si="7"/>
        <v>0.63</v>
      </c>
      <c r="Y45" s="133">
        <f t="shared" si="8"/>
        <v>0.61</v>
      </c>
      <c r="Z45" s="52">
        <v>2371237</v>
      </c>
      <c r="AA45" s="53">
        <v>1067869</v>
      </c>
      <c r="AB45" s="54">
        <f t="shared" si="9"/>
        <v>3439106</v>
      </c>
      <c r="AC45" s="161">
        <v>89567</v>
      </c>
      <c r="AD45" s="162">
        <f t="shared" si="10"/>
        <v>2.6</v>
      </c>
    </row>
    <row r="46" spans="2:30" ht="15" thickBot="1">
      <c r="B46" s="43">
        <v>40</v>
      </c>
      <c r="C46" s="30" t="s">
        <v>45</v>
      </c>
      <c r="D46" s="44">
        <f t="shared" si="1"/>
        <v>1828427</v>
      </c>
      <c r="E46" s="45">
        <f t="shared" si="2"/>
        <v>2912960</v>
      </c>
      <c r="F46" s="46">
        <v>0.28</v>
      </c>
      <c r="G46" s="34"/>
      <c r="H46" s="47"/>
      <c r="I46" s="30"/>
      <c r="J46" s="44"/>
      <c r="K46" s="45"/>
      <c r="L46" s="46"/>
      <c r="M46" s="11"/>
      <c r="N46" s="36">
        <v>41</v>
      </c>
      <c r="O46" s="130" t="s">
        <v>44</v>
      </c>
      <c r="P46" s="131">
        <v>694029</v>
      </c>
      <c r="Q46" s="132">
        <v>760720</v>
      </c>
      <c r="R46" s="228">
        <v>758004</v>
      </c>
      <c r="S46" s="48">
        <v>2007876</v>
      </c>
      <c r="T46" s="49">
        <v>2032489</v>
      </c>
      <c r="U46" s="230">
        <v>1993933</v>
      </c>
      <c r="V46" s="50">
        <f t="shared" si="5"/>
        <v>0.35</v>
      </c>
      <c r="W46" s="51">
        <f t="shared" si="6"/>
        <v>0.37</v>
      </c>
      <c r="X46" s="51">
        <f t="shared" si="7"/>
        <v>0.38</v>
      </c>
      <c r="Y46" s="133">
        <f t="shared" si="8"/>
        <v>0.37</v>
      </c>
      <c r="Z46" s="52">
        <v>982207</v>
      </c>
      <c r="AA46" s="53">
        <v>1232650</v>
      </c>
      <c r="AB46" s="54">
        <f t="shared" si="9"/>
        <v>2214857</v>
      </c>
      <c r="AC46" s="161">
        <v>118527</v>
      </c>
      <c r="AD46" s="162">
        <f t="shared" si="10"/>
        <v>5.4</v>
      </c>
    </row>
    <row r="47" spans="2:30" ht="15.75" thickBot="1" thickTop="1">
      <c r="B47" s="43">
        <v>41</v>
      </c>
      <c r="C47" s="10" t="s">
        <v>46</v>
      </c>
      <c r="D47" s="44">
        <f t="shared" si="1"/>
        <v>758004</v>
      </c>
      <c r="E47" s="45">
        <f t="shared" si="2"/>
        <v>1993933</v>
      </c>
      <c r="F47" s="138">
        <v>0.19</v>
      </c>
      <c r="G47" s="34"/>
      <c r="H47" s="316" t="s">
        <v>64</v>
      </c>
      <c r="I47" s="317"/>
      <c r="J47" s="59">
        <f>SUM(J6:J46,D20:D48)</f>
        <v>56220321</v>
      </c>
      <c r="K47" s="60">
        <f>SUM(K6:K46,E20:E48)</f>
        <v>117727514</v>
      </c>
      <c r="L47" s="61">
        <f>Y67</f>
        <v>0.47</v>
      </c>
      <c r="M47" s="11"/>
      <c r="N47" s="129">
        <v>42</v>
      </c>
      <c r="O47" s="130" t="s">
        <v>45</v>
      </c>
      <c r="P47" s="131">
        <v>846570</v>
      </c>
      <c r="Q47" s="132">
        <v>889179</v>
      </c>
      <c r="R47" s="228">
        <v>882969</v>
      </c>
      <c r="S47" s="48">
        <v>3036664</v>
      </c>
      <c r="T47" s="49">
        <v>3049901</v>
      </c>
      <c r="U47" s="230">
        <v>3084722</v>
      </c>
      <c r="V47" s="50">
        <f t="shared" si="5"/>
        <v>0.28</v>
      </c>
      <c r="W47" s="51">
        <f t="shared" si="6"/>
        <v>0.29</v>
      </c>
      <c r="X47" s="51">
        <f t="shared" si="7"/>
        <v>0.29</v>
      </c>
      <c r="Y47" s="133">
        <f t="shared" si="8"/>
        <v>0.29</v>
      </c>
      <c r="Z47" s="52">
        <v>1124913</v>
      </c>
      <c r="AA47" s="53">
        <v>2196477</v>
      </c>
      <c r="AB47" s="54">
        <f t="shared" si="9"/>
        <v>3321390</v>
      </c>
      <c r="AC47" s="161">
        <v>137479</v>
      </c>
      <c r="AD47" s="162">
        <f t="shared" si="10"/>
        <v>4.1</v>
      </c>
    </row>
    <row r="48" spans="2:30" ht="15.75" customHeight="1" thickBot="1" thickTop="1">
      <c r="B48" s="43">
        <v>42</v>
      </c>
      <c r="C48" s="141" t="s">
        <v>47</v>
      </c>
      <c r="D48" s="136">
        <f t="shared" si="1"/>
        <v>882969</v>
      </c>
      <c r="E48" s="137">
        <f t="shared" si="2"/>
        <v>3084722</v>
      </c>
      <c r="F48" s="142">
        <v>0.44</v>
      </c>
      <c r="G48" s="34"/>
      <c r="H48" s="321" t="s">
        <v>95</v>
      </c>
      <c r="I48" s="322"/>
      <c r="J48" s="63">
        <f>SUM(D19,J47)</f>
        <v>239015231</v>
      </c>
      <c r="K48" s="64">
        <f>SUM(E19,K47)</f>
        <v>387518441</v>
      </c>
      <c r="L48" s="65">
        <f>Y68</f>
        <v>0.5</v>
      </c>
      <c r="M48" s="11"/>
      <c r="N48" s="36">
        <v>43</v>
      </c>
      <c r="O48" s="130" t="s">
        <v>46</v>
      </c>
      <c r="P48" s="131">
        <v>312139</v>
      </c>
      <c r="Q48" s="132">
        <v>325993</v>
      </c>
      <c r="R48" s="228">
        <v>310741</v>
      </c>
      <c r="S48" s="48">
        <v>1683877</v>
      </c>
      <c r="T48" s="49">
        <v>1685452</v>
      </c>
      <c r="U48" s="230">
        <v>1715297</v>
      </c>
      <c r="V48" s="50">
        <f t="shared" si="5"/>
        <v>0.19</v>
      </c>
      <c r="W48" s="51">
        <f t="shared" si="6"/>
        <v>0.19</v>
      </c>
      <c r="X48" s="51">
        <f t="shared" si="7"/>
        <v>0.18</v>
      </c>
      <c r="Y48" s="133">
        <f t="shared" si="8"/>
        <v>0.19</v>
      </c>
      <c r="Z48" s="52">
        <v>388403</v>
      </c>
      <c r="AA48" s="53">
        <v>1401622</v>
      </c>
      <c r="AB48" s="54">
        <f t="shared" si="9"/>
        <v>1790025</v>
      </c>
      <c r="AC48" s="161">
        <v>62674</v>
      </c>
      <c r="AD48" s="162">
        <f t="shared" si="10"/>
        <v>3.5</v>
      </c>
    </row>
    <row r="49" spans="2:30" ht="14.25">
      <c r="B49" s="11"/>
      <c r="C49" s="10"/>
      <c r="D49" s="252"/>
      <c r="E49" s="252"/>
      <c r="F49" s="140"/>
      <c r="G49" s="34"/>
      <c r="M49" s="11"/>
      <c r="N49" s="129">
        <v>44</v>
      </c>
      <c r="O49" s="130" t="s">
        <v>47</v>
      </c>
      <c r="P49" s="131">
        <v>1647498</v>
      </c>
      <c r="Q49" s="132">
        <v>1729962</v>
      </c>
      <c r="R49" s="228">
        <v>1717234</v>
      </c>
      <c r="S49" s="48">
        <v>3839612</v>
      </c>
      <c r="T49" s="49">
        <v>3861755</v>
      </c>
      <c r="U49" s="230">
        <v>3915282</v>
      </c>
      <c r="V49" s="50">
        <f t="shared" si="5"/>
        <v>0.43</v>
      </c>
      <c r="W49" s="51">
        <f t="shared" si="6"/>
        <v>0.45</v>
      </c>
      <c r="X49" s="51">
        <f t="shared" si="7"/>
        <v>0.44</v>
      </c>
      <c r="Y49" s="133">
        <f t="shared" si="8"/>
        <v>0.44</v>
      </c>
      <c r="Z49" s="52">
        <v>2195874</v>
      </c>
      <c r="AA49" s="53">
        <v>2189333</v>
      </c>
      <c r="AB49" s="54">
        <f t="shared" si="9"/>
        <v>4385207</v>
      </c>
      <c r="AC49" s="161">
        <v>184921</v>
      </c>
      <c r="AD49" s="162">
        <f t="shared" si="10"/>
        <v>4.2</v>
      </c>
    </row>
    <row r="50" spans="2:30" ht="14.25">
      <c r="B50" s="11"/>
      <c r="C50" s="10"/>
      <c r="D50" s="139"/>
      <c r="E50" s="139"/>
      <c r="F50" s="140"/>
      <c r="G50" s="34"/>
      <c r="M50" s="11"/>
      <c r="N50" s="36">
        <v>45</v>
      </c>
      <c r="O50" s="130" t="s">
        <v>48</v>
      </c>
      <c r="P50" s="131">
        <v>700387</v>
      </c>
      <c r="Q50" s="132">
        <v>730543</v>
      </c>
      <c r="R50" s="228">
        <v>742319</v>
      </c>
      <c r="S50" s="48">
        <v>1859107</v>
      </c>
      <c r="T50" s="49">
        <v>1885331</v>
      </c>
      <c r="U50" s="230">
        <v>1963445</v>
      </c>
      <c r="V50" s="50">
        <f t="shared" si="5"/>
        <v>0.38</v>
      </c>
      <c r="W50" s="51">
        <f t="shared" si="6"/>
        <v>0.39</v>
      </c>
      <c r="X50" s="51">
        <f t="shared" si="7"/>
        <v>0.38</v>
      </c>
      <c r="Y50" s="133">
        <f t="shared" si="8"/>
        <v>0.38</v>
      </c>
      <c r="Z50" s="52">
        <v>945717</v>
      </c>
      <c r="AA50" s="53">
        <v>1217768</v>
      </c>
      <c r="AB50" s="54">
        <f t="shared" si="9"/>
        <v>2163485</v>
      </c>
      <c r="AC50" s="161">
        <v>80028</v>
      </c>
      <c r="AD50" s="162">
        <f t="shared" si="10"/>
        <v>3.7</v>
      </c>
    </row>
    <row r="51" spans="3:30" ht="15.75" customHeight="1">
      <c r="C51" s="10"/>
      <c r="D51" s="10"/>
      <c r="E51" s="10"/>
      <c r="F51" s="10"/>
      <c r="G51" s="62"/>
      <c r="M51" s="11"/>
      <c r="N51" s="129">
        <v>46</v>
      </c>
      <c r="O51" s="130" t="s">
        <v>49</v>
      </c>
      <c r="P51" s="131">
        <v>617539</v>
      </c>
      <c r="Q51" s="132">
        <v>638254</v>
      </c>
      <c r="R51" s="228">
        <v>635471</v>
      </c>
      <c r="S51" s="48">
        <v>2187946</v>
      </c>
      <c r="T51" s="49">
        <v>2186006</v>
      </c>
      <c r="U51" s="230">
        <v>2224142</v>
      </c>
      <c r="V51" s="50">
        <f t="shared" si="5"/>
        <v>0.28</v>
      </c>
      <c r="W51" s="51">
        <f t="shared" si="6"/>
        <v>0.29</v>
      </c>
      <c r="X51" s="51">
        <f t="shared" si="7"/>
        <v>0.29</v>
      </c>
      <c r="Y51" s="133">
        <f t="shared" si="8"/>
        <v>0.29</v>
      </c>
      <c r="Z51" s="52">
        <v>803326</v>
      </c>
      <c r="AA51" s="53">
        <v>1586267</v>
      </c>
      <c r="AB51" s="54">
        <f t="shared" si="9"/>
        <v>2389593</v>
      </c>
      <c r="AC51" s="161">
        <v>110682</v>
      </c>
      <c r="AD51" s="162">
        <f t="shared" si="10"/>
        <v>4.6</v>
      </c>
    </row>
    <row r="52" spans="9:30" ht="14.25">
      <c r="I52" s="11"/>
      <c r="J52" s="11"/>
      <c r="K52" s="11"/>
      <c r="L52" s="11"/>
      <c r="N52" s="36">
        <v>47</v>
      </c>
      <c r="O52" s="130" t="s">
        <v>50</v>
      </c>
      <c r="P52" s="131">
        <v>648345</v>
      </c>
      <c r="Q52" s="132">
        <v>666340</v>
      </c>
      <c r="R52" s="228">
        <v>679489</v>
      </c>
      <c r="S52" s="48">
        <v>1721543</v>
      </c>
      <c r="T52" s="49">
        <v>1768579</v>
      </c>
      <c r="U52" s="230">
        <v>1795647</v>
      </c>
      <c r="V52" s="50">
        <f t="shared" si="5"/>
        <v>0.38</v>
      </c>
      <c r="W52" s="51">
        <f t="shared" si="6"/>
        <v>0.38</v>
      </c>
      <c r="X52" s="51">
        <f t="shared" si="7"/>
        <v>0.38</v>
      </c>
      <c r="Y52" s="133">
        <f t="shared" si="8"/>
        <v>0.38</v>
      </c>
      <c r="Z52" s="52">
        <v>867860</v>
      </c>
      <c r="AA52" s="53">
        <v>1113087</v>
      </c>
      <c r="AB52" s="54">
        <f t="shared" si="9"/>
        <v>1980947</v>
      </c>
      <c r="AC52" s="161">
        <v>128328</v>
      </c>
      <c r="AD52" s="162">
        <f t="shared" si="10"/>
        <v>6.5</v>
      </c>
    </row>
    <row r="53" spans="4:30" ht="14.25">
      <c r="D53" s="66"/>
      <c r="J53" s="67"/>
      <c r="K53" s="67"/>
      <c r="N53" s="129">
        <v>48</v>
      </c>
      <c r="O53" s="130" t="s">
        <v>51</v>
      </c>
      <c r="P53" s="131">
        <v>540446</v>
      </c>
      <c r="Q53" s="132">
        <v>556027</v>
      </c>
      <c r="R53" s="228">
        <v>547916</v>
      </c>
      <c r="S53" s="48">
        <v>2161485</v>
      </c>
      <c r="T53" s="49">
        <v>2167382</v>
      </c>
      <c r="U53" s="230">
        <v>2201825</v>
      </c>
      <c r="V53" s="50">
        <f t="shared" si="5"/>
        <v>0.25</v>
      </c>
      <c r="W53" s="51">
        <f t="shared" si="6"/>
        <v>0.26</v>
      </c>
      <c r="X53" s="51">
        <f t="shared" si="7"/>
        <v>0.25</v>
      </c>
      <c r="Y53" s="133">
        <f t="shared" si="8"/>
        <v>0.25</v>
      </c>
      <c r="Z53" s="52">
        <v>691068</v>
      </c>
      <c r="AA53" s="53">
        <v>1650143</v>
      </c>
      <c r="AB53" s="54">
        <f t="shared" si="9"/>
        <v>2341211</v>
      </c>
      <c r="AC53" s="161">
        <v>31488</v>
      </c>
      <c r="AD53" s="162">
        <f t="shared" si="10"/>
        <v>1.3</v>
      </c>
    </row>
    <row r="54" spans="14:30" ht="14.25">
      <c r="N54" s="36">
        <v>49</v>
      </c>
      <c r="O54" s="130" t="s">
        <v>52</v>
      </c>
      <c r="P54" s="131">
        <v>1643493</v>
      </c>
      <c r="Q54" s="132">
        <v>1757415</v>
      </c>
      <c r="R54" s="228">
        <v>1766922</v>
      </c>
      <c r="S54" s="48">
        <v>3730378</v>
      </c>
      <c r="T54" s="49">
        <v>3802379</v>
      </c>
      <c r="U54" s="230">
        <v>3664395</v>
      </c>
      <c r="V54" s="50">
        <f t="shared" si="5"/>
        <v>0.44</v>
      </c>
      <c r="W54" s="51">
        <f t="shared" si="6"/>
        <v>0.46</v>
      </c>
      <c r="X54" s="51">
        <f t="shared" si="7"/>
        <v>0.48</v>
      </c>
      <c r="Y54" s="133">
        <f t="shared" si="8"/>
        <v>0.46</v>
      </c>
      <c r="Z54" s="52">
        <v>2250815</v>
      </c>
      <c r="AA54" s="53">
        <v>1891206</v>
      </c>
      <c r="AB54" s="54">
        <f t="shared" si="9"/>
        <v>4142021</v>
      </c>
      <c r="AC54" s="161">
        <v>229325</v>
      </c>
      <c r="AD54" s="162">
        <f t="shared" si="10"/>
        <v>5.5</v>
      </c>
    </row>
    <row r="55" spans="14:30" ht="14.25">
      <c r="N55" s="129">
        <v>50</v>
      </c>
      <c r="O55" s="130" t="s">
        <v>53</v>
      </c>
      <c r="P55" s="131">
        <v>993006</v>
      </c>
      <c r="Q55" s="132">
        <v>1016125</v>
      </c>
      <c r="R55" s="228">
        <v>1054412</v>
      </c>
      <c r="S55" s="48">
        <v>2686363</v>
      </c>
      <c r="T55" s="49">
        <v>2689520</v>
      </c>
      <c r="U55" s="230">
        <v>2687896</v>
      </c>
      <c r="V55" s="50">
        <f t="shared" si="5"/>
        <v>0.37</v>
      </c>
      <c r="W55" s="51">
        <f t="shared" si="6"/>
        <v>0.38</v>
      </c>
      <c r="X55" s="51">
        <f t="shared" si="7"/>
        <v>0.39</v>
      </c>
      <c r="Y55" s="133">
        <f t="shared" si="8"/>
        <v>0.38</v>
      </c>
      <c r="Z55" s="52">
        <v>1345857</v>
      </c>
      <c r="AA55" s="53">
        <v>1628887</v>
      </c>
      <c r="AB55" s="54">
        <f t="shared" si="9"/>
        <v>2974744</v>
      </c>
      <c r="AC55" s="161">
        <v>92246</v>
      </c>
      <c r="AD55" s="162">
        <f t="shared" si="10"/>
        <v>3.1</v>
      </c>
    </row>
    <row r="56" spans="14:30" ht="14.25">
      <c r="N56" s="36">
        <v>51</v>
      </c>
      <c r="O56" s="130" t="s">
        <v>54</v>
      </c>
      <c r="P56" s="131">
        <v>2325970</v>
      </c>
      <c r="Q56" s="132">
        <v>2115307</v>
      </c>
      <c r="R56" s="228">
        <v>1991440</v>
      </c>
      <c r="S56" s="48">
        <v>1390686</v>
      </c>
      <c r="T56" s="49">
        <v>1403440</v>
      </c>
      <c r="U56" s="230">
        <v>1431860</v>
      </c>
      <c r="V56" s="50">
        <f t="shared" si="5"/>
        <v>1.67</v>
      </c>
      <c r="W56" s="51">
        <f t="shared" si="6"/>
        <v>1.51</v>
      </c>
      <c r="X56" s="51">
        <f t="shared" si="7"/>
        <v>1.39</v>
      </c>
      <c r="Y56" s="133">
        <f t="shared" si="8"/>
        <v>1.52</v>
      </c>
      <c r="Z56" s="52">
        <v>2630751</v>
      </c>
      <c r="AA56" s="53">
        <v>0</v>
      </c>
      <c r="AB56" s="54">
        <f t="shared" si="9"/>
        <v>2630751</v>
      </c>
      <c r="AC56" s="161">
        <v>166042</v>
      </c>
      <c r="AD56" s="162">
        <f t="shared" si="10"/>
        <v>6.3</v>
      </c>
    </row>
    <row r="57" spans="14:30" ht="14.25">
      <c r="N57" s="129">
        <v>52</v>
      </c>
      <c r="O57" s="130" t="s">
        <v>55</v>
      </c>
      <c r="P57" s="131">
        <v>2204500</v>
      </c>
      <c r="Q57" s="132">
        <v>2284574</v>
      </c>
      <c r="R57" s="228">
        <v>2272651</v>
      </c>
      <c r="S57" s="48">
        <v>1891821</v>
      </c>
      <c r="T57" s="49">
        <v>1887940</v>
      </c>
      <c r="U57" s="230">
        <v>1915256</v>
      </c>
      <c r="V57" s="50">
        <f t="shared" si="5"/>
        <v>1.17</v>
      </c>
      <c r="W57" s="51">
        <f t="shared" si="6"/>
        <v>1.21</v>
      </c>
      <c r="X57" s="51">
        <f t="shared" si="7"/>
        <v>1.19</v>
      </c>
      <c r="Y57" s="133">
        <f t="shared" si="8"/>
        <v>1.19</v>
      </c>
      <c r="Z57" s="52">
        <v>2983060</v>
      </c>
      <c r="AA57" s="53">
        <v>0</v>
      </c>
      <c r="AB57" s="54">
        <f t="shared" si="9"/>
        <v>2983060</v>
      </c>
      <c r="AC57" s="161">
        <v>223363</v>
      </c>
      <c r="AD57" s="162">
        <f t="shared" si="10"/>
        <v>7.5</v>
      </c>
    </row>
    <row r="58" spans="14:30" ht="14.25">
      <c r="N58" s="36">
        <v>53</v>
      </c>
      <c r="O58" s="130" t="s">
        <v>56</v>
      </c>
      <c r="P58" s="131">
        <v>2738923</v>
      </c>
      <c r="Q58" s="132">
        <v>2769380</v>
      </c>
      <c r="R58" s="228">
        <v>2786024</v>
      </c>
      <c r="S58" s="48">
        <v>3012918</v>
      </c>
      <c r="T58" s="49">
        <v>2994702</v>
      </c>
      <c r="U58" s="230">
        <v>3020419</v>
      </c>
      <c r="V58" s="50">
        <f t="shared" si="5"/>
        <v>0.91</v>
      </c>
      <c r="W58" s="51">
        <f t="shared" si="6"/>
        <v>0.92</v>
      </c>
      <c r="X58" s="51">
        <f t="shared" si="7"/>
        <v>0.92</v>
      </c>
      <c r="Y58" s="133">
        <f t="shared" si="8"/>
        <v>0.92</v>
      </c>
      <c r="Z58" s="52">
        <v>3644377</v>
      </c>
      <c r="AA58" s="53">
        <v>229229</v>
      </c>
      <c r="AB58" s="54">
        <f t="shared" si="9"/>
        <v>3873606</v>
      </c>
      <c r="AC58" s="161">
        <v>197952</v>
      </c>
      <c r="AD58" s="162">
        <f t="shared" si="10"/>
        <v>5.1</v>
      </c>
    </row>
    <row r="59" spans="14:30" ht="14.25">
      <c r="N59" s="129">
        <v>54</v>
      </c>
      <c r="O59" s="130" t="s">
        <v>57</v>
      </c>
      <c r="P59" s="131">
        <v>447272</v>
      </c>
      <c r="Q59" s="132">
        <v>454901</v>
      </c>
      <c r="R59" s="228">
        <v>429235</v>
      </c>
      <c r="S59" s="48">
        <v>1433861</v>
      </c>
      <c r="T59" s="49">
        <v>1431914</v>
      </c>
      <c r="U59" s="230">
        <v>1480126</v>
      </c>
      <c r="V59" s="50">
        <f t="shared" si="5"/>
        <v>0.31</v>
      </c>
      <c r="W59" s="51">
        <f t="shared" si="6"/>
        <v>0.32</v>
      </c>
      <c r="X59" s="51">
        <f t="shared" si="7"/>
        <v>0.29</v>
      </c>
      <c r="Y59" s="133">
        <f t="shared" si="8"/>
        <v>0.31</v>
      </c>
      <c r="Z59" s="52">
        <v>552605</v>
      </c>
      <c r="AA59" s="53">
        <v>1048360</v>
      </c>
      <c r="AB59" s="54">
        <f t="shared" si="9"/>
        <v>1600965</v>
      </c>
      <c r="AC59" s="161">
        <v>66560</v>
      </c>
      <c r="AD59" s="162">
        <f t="shared" si="10"/>
        <v>4.2</v>
      </c>
    </row>
    <row r="60" spans="14:30" ht="14.25">
      <c r="N60" s="36">
        <v>55</v>
      </c>
      <c r="O60" s="130" t="s">
        <v>58</v>
      </c>
      <c r="P60" s="131">
        <v>3220385</v>
      </c>
      <c r="Q60" s="132">
        <v>3256673</v>
      </c>
      <c r="R60" s="228">
        <v>3173221</v>
      </c>
      <c r="S60" s="48">
        <v>1933400</v>
      </c>
      <c r="T60" s="49">
        <v>1959751</v>
      </c>
      <c r="U60" s="230">
        <v>2024898</v>
      </c>
      <c r="V60" s="50">
        <f t="shared" si="5"/>
        <v>1.67</v>
      </c>
      <c r="W60" s="51">
        <f t="shared" si="6"/>
        <v>1.66</v>
      </c>
      <c r="X60" s="51">
        <f t="shared" si="7"/>
        <v>1.57</v>
      </c>
      <c r="Y60" s="133">
        <f t="shared" si="8"/>
        <v>1.63</v>
      </c>
      <c r="Z60" s="52">
        <v>4175853</v>
      </c>
      <c r="AA60" s="53">
        <v>0</v>
      </c>
      <c r="AB60" s="54">
        <f t="shared" si="9"/>
        <v>4175853</v>
      </c>
      <c r="AC60" s="161">
        <v>186402</v>
      </c>
      <c r="AD60" s="162">
        <f t="shared" si="10"/>
        <v>4.5</v>
      </c>
    </row>
    <row r="61" spans="14:30" ht="14.25">
      <c r="N61" s="129">
        <v>56</v>
      </c>
      <c r="O61" s="130" t="s">
        <v>59</v>
      </c>
      <c r="P61" s="131">
        <v>1531195</v>
      </c>
      <c r="Q61" s="132">
        <v>1487852</v>
      </c>
      <c r="R61" s="228">
        <v>1450423</v>
      </c>
      <c r="S61" s="48">
        <v>1918320</v>
      </c>
      <c r="T61" s="49">
        <v>1873361</v>
      </c>
      <c r="U61" s="230">
        <v>1854360</v>
      </c>
      <c r="V61" s="50">
        <f t="shared" si="5"/>
        <v>0.8</v>
      </c>
      <c r="W61" s="51">
        <f t="shared" si="6"/>
        <v>0.79</v>
      </c>
      <c r="X61" s="51">
        <f t="shared" si="7"/>
        <v>0.78</v>
      </c>
      <c r="Y61" s="133">
        <f t="shared" si="8"/>
        <v>0.79</v>
      </c>
      <c r="Z61" s="52">
        <v>1897579</v>
      </c>
      <c r="AA61" s="53">
        <v>400766</v>
      </c>
      <c r="AB61" s="54">
        <f t="shared" si="9"/>
        <v>2298345</v>
      </c>
      <c r="AC61" s="161">
        <v>108625</v>
      </c>
      <c r="AD61" s="162">
        <f t="shared" si="10"/>
        <v>4.7</v>
      </c>
    </row>
    <row r="62" spans="14:30" ht="14.25">
      <c r="N62" s="36">
        <v>57</v>
      </c>
      <c r="O62" s="130" t="s">
        <v>60</v>
      </c>
      <c r="P62" s="131">
        <v>1973931</v>
      </c>
      <c r="Q62" s="132">
        <v>2009236</v>
      </c>
      <c r="R62" s="228">
        <v>2005839</v>
      </c>
      <c r="S62" s="48">
        <v>4360051</v>
      </c>
      <c r="T62" s="49">
        <v>4325645</v>
      </c>
      <c r="U62" s="230">
        <v>4197629</v>
      </c>
      <c r="V62" s="50">
        <f t="shared" si="5"/>
        <v>0.45</v>
      </c>
      <c r="W62" s="51">
        <f t="shared" si="6"/>
        <v>0.46</v>
      </c>
      <c r="X62" s="51">
        <f t="shared" si="7"/>
        <v>0.48</v>
      </c>
      <c r="Y62" s="133">
        <f t="shared" si="8"/>
        <v>0.46</v>
      </c>
      <c r="Z62" s="52">
        <v>2566692</v>
      </c>
      <c r="AA62" s="53">
        <v>2184611</v>
      </c>
      <c r="AB62" s="54">
        <f t="shared" si="9"/>
        <v>4751303</v>
      </c>
      <c r="AC62" s="161">
        <v>148254</v>
      </c>
      <c r="AD62" s="162">
        <f t="shared" si="10"/>
        <v>3.1</v>
      </c>
    </row>
    <row r="63" spans="14:30" ht="14.25">
      <c r="N63" s="129">
        <v>58</v>
      </c>
      <c r="O63" s="130" t="s">
        <v>61</v>
      </c>
      <c r="P63" s="131">
        <v>123253</v>
      </c>
      <c r="Q63" s="132">
        <v>133556</v>
      </c>
      <c r="R63" s="228">
        <v>134101</v>
      </c>
      <c r="S63" s="48">
        <v>884066</v>
      </c>
      <c r="T63" s="49">
        <v>866626</v>
      </c>
      <c r="U63" s="230">
        <v>898329</v>
      </c>
      <c r="V63" s="50">
        <f t="shared" si="5"/>
        <v>0.14</v>
      </c>
      <c r="W63" s="51">
        <f t="shared" si="6"/>
        <v>0.15</v>
      </c>
      <c r="X63" s="51">
        <f t="shared" si="7"/>
        <v>0.15</v>
      </c>
      <c r="Y63" s="133">
        <f t="shared" si="8"/>
        <v>0.15</v>
      </c>
      <c r="Z63" s="52">
        <v>167470</v>
      </c>
      <c r="AA63" s="53">
        <v>762692</v>
      </c>
      <c r="AB63" s="54">
        <f t="shared" si="9"/>
        <v>930162</v>
      </c>
      <c r="AC63" s="161">
        <v>96714</v>
      </c>
      <c r="AD63" s="162">
        <f t="shared" si="10"/>
        <v>10.4</v>
      </c>
    </row>
    <row r="64" spans="14:30" ht="14.25">
      <c r="N64" s="36">
        <v>59</v>
      </c>
      <c r="O64" s="130" t="s">
        <v>62</v>
      </c>
      <c r="P64" s="131">
        <v>2133145</v>
      </c>
      <c r="Q64" s="132">
        <v>2039333</v>
      </c>
      <c r="R64" s="228">
        <v>1920907</v>
      </c>
      <c r="S64" s="48">
        <v>2073783</v>
      </c>
      <c r="T64" s="49">
        <v>2087613</v>
      </c>
      <c r="U64" s="230">
        <v>2130841</v>
      </c>
      <c r="V64" s="50">
        <f t="shared" si="5"/>
        <v>1.03</v>
      </c>
      <c r="W64" s="51">
        <f t="shared" si="6"/>
        <v>0.98</v>
      </c>
      <c r="X64" s="51">
        <f t="shared" si="7"/>
        <v>0.9</v>
      </c>
      <c r="Y64" s="133">
        <f t="shared" si="8"/>
        <v>0.97</v>
      </c>
      <c r="Z64" s="52">
        <v>2507986</v>
      </c>
      <c r="AA64" s="53">
        <v>206290</v>
      </c>
      <c r="AB64" s="54">
        <f t="shared" si="9"/>
        <v>2714276</v>
      </c>
      <c r="AC64" s="161">
        <v>243164</v>
      </c>
      <c r="AD64" s="162">
        <f t="shared" si="10"/>
        <v>9</v>
      </c>
    </row>
    <row r="65" spans="14:30" ht="15" thickBot="1">
      <c r="N65" s="129">
        <v>60</v>
      </c>
      <c r="O65" s="130" t="s">
        <v>63</v>
      </c>
      <c r="P65" s="131">
        <v>564693</v>
      </c>
      <c r="Q65" s="132">
        <v>586533</v>
      </c>
      <c r="R65" s="228">
        <v>604037</v>
      </c>
      <c r="S65" s="48">
        <v>2343001</v>
      </c>
      <c r="T65" s="49">
        <v>2430428</v>
      </c>
      <c r="U65" s="230">
        <v>2450299</v>
      </c>
      <c r="V65" s="50">
        <f t="shared" si="5"/>
        <v>0.24</v>
      </c>
      <c r="W65" s="51">
        <f t="shared" si="6"/>
        <v>0.24</v>
      </c>
      <c r="X65" s="51">
        <f t="shared" si="7"/>
        <v>0.25</v>
      </c>
      <c r="Y65" s="133">
        <f t="shared" si="8"/>
        <v>0.24</v>
      </c>
      <c r="Z65" s="52">
        <v>761639</v>
      </c>
      <c r="AA65" s="53">
        <v>1842071</v>
      </c>
      <c r="AB65" s="54">
        <f t="shared" si="9"/>
        <v>2603710</v>
      </c>
      <c r="AC65" s="161">
        <v>157890</v>
      </c>
      <c r="AD65" s="162">
        <f t="shared" si="10"/>
        <v>6.1</v>
      </c>
    </row>
    <row r="66" spans="14:30" ht="15" thickBot="1">
      <c r="N66" s="68"/>
      <c r="O66" s="69" t="s">
        <v>66</v>
      </c>
      <c r="P66" s="70">
        <f aca="true" t="shared" si="13" ref="P66:U66">SUM(P6:P18)</f>
        <v>173496463</v>
      </c>
      <c r="Q66" s="70">
        <f t="shared" si="13"/>
        <v>179324717</v>
      </c>
      <c r="R66" s="70">
        <f t="shared" si="13"/>
        <v>182794910</v>
      </c>
      <c r="S66" s="70">
        <f t="shared" si="13"/>
        <v>276976304</v>
      </c>
      <c r="T66" s="70">
        <f t="shared" si="13"/>
        <v>270753379</v>
      </c>
      <c r="U66" s="70">
        <f t="shared" si="13"/>
        <v>269790927</v>
      </c>
      <c r="V66" s="50">
        <f>ROUND(SUM(V6:V18)/13,2)</f>
        <v>0.56</v>
      </c>
      <c r="W66" s="50">
        <f>ROUND(SUM(W6:W18)/13,2)</f>
        <v>0.59</v>
      </c>
      <c r="X66" s="50">
        <f>ROUND(SUM(X6:X18)/13,2)</f>
        <v>0.61</v>
      </c>
      <c r="Y66" s="133">
        <f t="shared" si="8"/>
        <v>0.59</v>
      </c>
      <c r="Z66" s="76">
        <f>SUM(Z6:Z18)</f>
        <v>236478131</v>
      </c>
      <c r="AA66" s="76">
        <f>SUM(AA6:AA18)</f>
        <v>98522705</v>
      </c>
      <c r="AB66" s="76">
        <f>SUM(AB6:AB18)</f>
        <v>335000836</v>
      </c>
      <c r="AC66" s="163">
        <f>SUM(AC6:AC18)</f>
        <v>13669077</v>
      </c>
      <c r="AD66" s="162">
        <f>ROUND(SUM(AD6:AD18)/13,1)</f>
        <v>4.7</v>
      </c>
    </row>
    <row r="67" spans="14:30" ht="15" thickBot="1">
      <c r="N67" s="68"/>
      <c r="O67" s="69" t="s">
        <v>64</v>
      </c>
      <c r="P67" s="134">
        <f aca="true" t="shared" si="14" ref="P67:U67">SUM(P19:P65)</f>
        <v>54139450</v>
      </c>
      <c r="Q67" s="71">
        <f t="shared" si="14"/>
        <v>55417315</v>
      </c>
      <c r="R67" s="135">
        <f t="shared" si="14"/>
        <v>56220321</v>
      </c>
      <c r="S67" s="134">
        <f t="shared" si="14"/>
        <v>119060184</v>
      </c>
      <c r="T67" s="71">
        <f t="shared" si="14"/>
        <v>118181195</v>
      </c>
      <c r="U67" s="135">
        <f t="shared" si="14"/>
        <v>117727514</v>
      </c>
      <c r="V67" s="50">
        <f>ROUND(SUM(V19:V65)/47,2)</f>
        <v>0.47</v>
      </c>
      <c r="W67" s="50">
        <f>ROUND(SUM(W19:W65)/47,2)</f>
        <v>0.47</v>
      </c>
      <c r="X67" s="50">
        <f>ROUND(SUM(X19:X65)/47,2)</f>
        <v>0.48</v>
      </c>
      <c r="Y67" s="133">
        <f t="shared" si="8"/>
        <v>0.47</v>
      </c>
      <c r="Z67" s="76">
        <f>SUM(Z19:Z65)</f>
        <v>72501718</v>
      </c>
      <c r="AA67" s="76">
        <f>SUM(AA19:AA65)</f>
        <v>66282578</v>
      </c>
      <c r="AB67" s="76">
        <f>SUM(AB19:AB65)</f>
        <v>138784296</v>
      </c>
      <c r="AC67" s="163">
        <f>SUM(AC19:AC65)</f>
        <v>5986687</v>
      </c>
      <c r="AD67" s="162">
        <f>ROUND(SUM(AD19:AD65)/47,1)</f>
        <v>4.8</v>
      </c>
    </row>
    <row r="68" spans="14:30" ht="15" thickBot="1">
      <c r="N68" s="68"/>
      <c r="O68" s="69" t="s">
        <v>67</v>
      </c>
      <c r="P68" s="70">
        <f aca="true" t="shared" si="15" ref="P68:U68">P67+P66</f>
        <v>227635913</v>
      </c>
      <c r="Q68" s="71">
        <f t="shared" si="15"/>
        <v>234742032</v>
      </c>
      <c r="R68" s="72">
        <f t="shared" si="15"/>
        <v>239015231</v>
      </c>
      <c r="S68" s="73">
        <f t="shared" si="15"/>
        <v>396036488</v>
      </c>
      <c r="T68" s="74">
        <f t="shared" si="15"/>
        <v>388934574</v>
      </c>
      <c r="U68" s="75">
        <f t="shared" si="15"/>
        <v>387518441</v>
      </c>
      <c r="V68" s="50">
        <f>ROUND(SUM(V6:V65)/60,2)</f>
        <v>0.49</v>
      </c>
      <c r="W68" s="50">
        <f>ROUND(SUM(W6:W65)/60,2)</f>
        <v>0.5</v>
      </c>
      <c r="X68" s="50">
        <f>ROUND(SUM(X6:X65)/60,2)</f>
        <v>0.5</v>
      </c>
      <c r="Y68" s="133">
        <f t="shared" si="8"/>
        <v>0.5</v>
      </c>
      <c r="Z68" s="76">
        <f>Z67+Z66</f>
        <v>308979849</v>
      </c>
      <c r="AA68" s="77">
        <f>AA67+AA66</f>
        <v>164805283</v>
      </c>
      <c r="AB68" s="72">
        <f>AB67+AB66</f>
        <v>473785132</v>
      </c>
      <c r="AC68" s="164">
        <f>AC67+AC66</f>
        <v>19655764</v>
      </c>
      <c r="AD68" s="165">
        <f>ROUND(SUM(AD6:AD65)/60,1)</f>
        <v>4.8</v>
      </c>
    </row>
    <row r="69" spans="14:28" ht="14.25">
      <c r="N69" s="12"/>
      <c r="O69" s="12"/>
      <c r="P69" s="12"/>
      <c r="Q69" s="12"/>
      <c r="R69" s="12"/>
      <c r="S69" s="12"/>
      <c r="T69" s="12"/>
      <c r="U69" s="78"/>
      <c r="V69" s="80"/>
      <c r="W69" s="12"/>
      <c r="X69" s="79" t="s">
        <v>85</v>
      </c>
      <c r="Y69" s="80">
        <f>ROUND(SUM(Y6:Y65)/60,2)</f>
        <v>0.5</v>
      </c>
      <c r="Z69" s="12"/>
      <c r="AA69" s="12"/>
      <c r="AB69" s="12"/>
    </row>
    <row r="70" spans="14:28" ht="14.25">
      <c r="N70" s="12"/>
      <c r="O70" s="12"/>
      <c r="P70" s="12"/>
      <c r="Q70" s="12"/>
      <c r="R70" s="12"/>
      <c r="S70" s="12"/>
      <c r="T70" s="12"/>
      <c r="U70" s="78"/>
      <c r="V70" s="80"/>
      <c r="W70" s="12"/>
      <c r="X70" s="79"/>
      <c r="Y70" s="80"/>
      <c r="Z70" s="12"/>
      <c r="AA70" s="12"/>
      <c r="AB70" s="12"/>
    </row>
    <row r="84" ht="14.25">
      <c r="U84" s="81" t="s">
        <v>302</v>
      </c>
    </row>
  </sheetData>
  <mergeCells count="8">
    <mergeCell ref="B19:C19"/>
    <mergeCell ref="H47:I47"/>
    <mergeCell ref="V2:Y2"/>
    <mergeCell ref="H48:I48"/>
    <mergeCell ref="B4:C5"/>
    <mergeCell ref="H4:I5"/>
    <mergeCell ref="P2:R2"/>
    <mergeCell ref="S2:U2"/>
  </mergeCells>
  <printOptions horizontalCentered="1"/>
  <pageMargins left="0.3937007874015748" right="0.3937007874015748" top="0.5905511811023623" bottom="0.3937007874015748" header="0.5118110236220472" footer="0.1968503937007874"/>
  <pageSetup firstPageNumber="24" useFirstPageNumber="1" horizontalDpi="600" verticalDpi="600" orientation="landscape" paperSize="9" scale="75" r:id="rId2"/>
  <headerFooter alignWithMargins="0">
    <oddFooter>&amp;C&amp;12- &amp;P -</oddFooter>
  </headerFooter>
  <rowBreaks count="1" manualBreakCount="1">
    <brk id="51" min="2" max="10" man="1"/>
  </rowBreaks>
  <drawing r:id="rId1"/>
</worksheet>
</file>

<file path=xl/worksheets/sheet4.xml><?xml version="1.0" encoding="utf-8"?>
<worksheet xmlns="http://schemas.openxmlformats.org/spreadsheetml/2006/main" xmlns:r="http://schemas.openxmlformats.org/officeDocument/2006/relationships">
  <sheetPr codeName="Sheet4"/>
  <dimension ref="A1:R71"/>
  <sheetViews>
    <sheetView zoomScale="75" zoomScaleNormal="75" workbookViewId="0" topLeftCell="A1">
      <pane xSplit="2" ySplit="4" topLeftCell="O56"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3.5" style="100" bestFit="1" customWidth="1"/>
    <col min="2" max="2" width="9" style="100" customWidth="1"/>
    <col min="3" max="3" width="14.5" style="195" bestFit="1" customWidth="1"/>
    <col min="4" max="4" width="12.69921875" style="195" bestFit="1" customWidth="1"/>
    <col min="5" max="5" width="11.59765625" style="195" bestFit="1" customWidth="1"/>
    <col min="6" max="6" width="13.19921875" style="195" bestFit="1" customWidth="1"/>
    <col min="7" max="7" width="12.09765625" style="195" bestFit="1" customWidth="1"/>
    <col min="8" max="8" width="13.19921875" style="195" bestFit="1" customWidth="1"/>
    <col min="9" max="10" width="9.19921875" style="195" bestFit="1" customWidth="1"/>
    <col min="11" max="11" width="12.09765625" style="195" bestFit="1" customWidth="1"/>
    <col min="12" max="12" width="9.19921875" style="195" bestFit="1" customWidth="1"/>
    <col min="13" max="14" width="13.19921875" style="195" bestFit="1" customWidth="1"/>
    <col min="15" max="15" width="14" style="195" bestFit="1" customWidth="1"/>
    <col min="16" max="16" width="12.09765625" style="195" bestFit="1" customWidth="1"/>
    <col min="17" max="18" width="9" style="199" customWidth="1"/>
    <col min="19" max="16384" width="9" style="100" customWidth="1"/>
  </cols>
  <sheetData>
    <row r="1" spans="3:18" s="98" customFormat="1" ht="14.25" customHeight="1">
      <c r="C1" s="264" t="s">
        <v>106</v>
      </c>
      <c r="D1" s="264" t="s">
        <v>107</v>
      </c>
      <c r="E1" s="264" t="s">
        <v>108</v>
      </c>
      <c r="F1" s="264" t="s">
        <v>109</v>
      </c>
      <c r="G1" s="264" t="s">
        <v>110</v>
      </c>
      <c r="H1" s="264" t="s">
        <v>111</v>
      </c>
      <c r="I1" s="264" t="s">
        <v>112</v>
      </c>
      <c r="J1" s="264" t="s">
        <v>113</v>
      </c>
      <c r="K1" s="264" t="s">
        <v>114</v>
      </c>
      <c r="L1" s="264" t="s">
        <v>115</v>
      </c>
      <c r="M1" s="327" t="s">
        <v>116</v>
      </c>
      <c r="N1" s="264" t="s">
        <v>117</v>
      </c>
      <c r="O1" s="264" t="s">
        <v>301</v>
      </c>
      <c r="P1" s="264" t="s">
        <v>118</v>
      </c>
      <c r="Q1" s="329" t="s">
        <v>119</v>
      </c>
      <c r="R1" s="330" t="s">
        <v>120</v>
      </c>
    </row>
    <row r="2" spans="2:18" ht="14.25">
      <c r="B2" s="100" t="s">
        <v>103</v>
      </c>
      <c r="C2" s="265">
        <v>14</v>
      </c>
      <c r="D2" s="265">
        <v>14</v>
      </c>
      <c r="E2" s="265">
        <v>14</v>
      </c>
      <c r="F2" s="265">
        <v>14</v>
      </c>
      <c r="G2" s="265">
        <v>14</v>
      </c>
      <c r="H2" s="265">
        <v>14</v>
      </c>
      <c r="I2" s="265">
        <v>14</v>
      </c>
      <c r="J2" s="265">
        <v>14</v>
      </c>
      <c r="K2" s="265">
        <v>14</v>
      </c>
      <c r="L2" s="265">
        <v>14</v>
      </c>
      <c r="M2" s="328"/>
      <c r="N2" s="265">
        <v>5</v>
      </c>
      <c r="O2" s="265">
        <v>5</v>
      </c>
      <c r="P2" s="265">
        <v>5</v>
      </c>
      <c r="Q2" s="329"/>
      <c r="R2" s="331"/>
    </row>
    <row r="3" spans="2:18" ht="14.25">
      <c r="B3" s="100" t="s">
        <v>104</v>
      </c>
      <c r="C3" s="265">
        <v>1</v>
      </c>
      <c r="D3" s="265">
        <v>3</v>
      </c>
      <c r="E3" s="265">
        <v>4</v>
      </c>
      <c r="F3" s="265">
        <v>5</v>
      </c>
      <c r="G3" s="265">
        <v>6</v>
      </c>
      <c r="H3" s="265">
        <v>9</v>
      </c>
      <c r="I3" s="265">
        <v>13</v>
      </c>
      <c r="J3" s="265">
        <v>14</v>
      </c>
      <c r="K3" s="265">
        <v>15</v>
      </c>
      <c r="L3" s="265">
        <v>16</v>
      </c>
      <c r="M3" s="328"/>
      <c r="N3" s="265">
        <v>31</v>
      </c>
      <c r="O3" s="265">
        <v>29</v>
      </c>
      <c r="P3" s="265">
        <v>30</v>
      </c>
      <c r="Q3" s="329"/>
      <c r="R3" s="331"/>
    </row>
    <row r="4" spans="2:18" ht="14.25">
      <c r="B4" s="100" t="s">
        <v>105</v>
      </c>
      <c r="C4" s="265">
        <v>5</v>
      </c>
      <c r="D4" s="265">
        <v>5</v>
      </c>
      <c r="E4" s="265">
        <v>5</v>
      </c>
      <c r="F4" s="265">
        <v>5</v>
      </c>
      <c r="G4" s="265">
        <v>5</v>
      </c>
      <c r="H4" s="265">
        <v>5</v>
      </c>
      <c r="I4" s="265">
        <v>5</v>
      </c>
      <c r="J4" s="265">
        <v>5</v>
      </c>
      <c r="K4" s="265">
        <v>5</v>
      </c>
      <c r="L4" s="265">
        <v>5</v>
      </c>
      <c r="M4" s="328"/>
      <c r="N4" s="265">
        <v>5</v>
      </c>
      <c r="O4" s="265">
        <v>1</v>
      </c>
      <c r="P4" s="265">
        <v>1</v>
      </c>
      <c r="Q4" s="329"/>
      <c r="R4" s="331"/>
    </row>
    <row r="5" spans="1:18" ht="14.25">
      <c r="A5" s="100">
        <v>1</v>
      </c>
      <c r="B5" s="100" t="s">
        <v>0</v>
      </c>
      <c r="C5" s="195">
        <v>15807613</v>
      </c>
      <c r="D5" s="195">
        <v>7772578</v>
      </c>
      <c r="E5" s="195">
        <v>1374973</v>
      </c>
      <c r="F5" s="195">
        <v>4125860</v>
      </c>
      <c r="G5" s="195">
        <v>1382652</v>
      </c>
      <c r="H5" s="195">
        <v>10176865</v>
      </c>
      <c r="I5" s="195">
        <v>0</v>
      </c>
      <c r="J5" s="195">
        <v>0</v>
      </c>
      <c r="K5" s="195">
        <v>7091273</v>
      </c>
      <c r="L5" s="195">
        <v>0</v>
      </c>
      <c r="M5" s="195">
        <f>SUM(C5:L5)</f>
        <v>47731814</v>
      </c>
      <c r="N5" s="195">
        <v>51654329</v>
      </c>
      <c r="O5" s="195">
        <v>0</v>
      </c>
      <c r="P5" s="195">
        <v>2120000</v>
      </c>
      <c r="Q5" s="194">
        <f>ROUND(M5/SUM(N5:P5)*100,1)</f>
        <v>88.8</v>
      </c>
      <c r="R5" s="194">
        <f>ROUND(M5/N5*100,1)</f>
        <v>92.4</v>
      </c>
    </row>
    <row r="6" spans="1:18" ht="14.25">
      <c r="A6" s="100">
        <v>2</v>
      </c>
      <c r="B6" s="100" t="s">
        <v>1</v>
      </c>
      <c r="C6" s="195">
        <v>7537338</v>
      </c>
      <c r="D6" s="195">
        <v>3105377</v>
      </c>
      <c r="E6" s="195">
        <v>431552</v>
      </c>
      <c r="F6" s="195">
        <v>2512240</v>
      </c>
      <c r="G6" s="195">
        <v>3171464</v>
      </c>
      <c r="H6" s="195">
        <v>6305602</v>
      </c>
      <c r="I6" s="195">
        <v>0</v>
      </c>
      <c r="J6" s="195">
        <v>0</v>
      </c>
      <c r="K6" s="195">
        <v>3211408</v>
      </c>
      <c r="L6" s="195">
        <v>0</v>
      </c>
      <c r="M6" s="195">
        <f aca="true" t="shared" si="0" ref="M6:M64">SUM(C6:L6)</f>
        <v>26274981</v>
      </c>
      <c r="N6" s="195">
        <v>27639932</v>
      </c>
      <c r="O6" s="195">
        <v>0</v>
      </c>
      <c r="P6" s="195">
        <v>1253800</v>
      </c>
      <c r="Q6" s="194">
        <f aca="true" t="shared" si="1" ref="Q6:Q64">ROUND(M6/SUM(N6:P6)*100,1)</f>
        <v>90.9</v>
      </c>
      <c r="R6" s="194">
        <f aca="true" t="shared" si="2" ref="R6:R64">ROUND(M6/N6*100,1)</f>
        <v>95.1</v>
      </c>
    </row>
    <row r="7" spans="1:18" ht="14.25">
      <c r="A7" s="100">
        <v>3</v>
      </c>
      <c r="B7" s="100" t="s">
        <v>2</v>
      </c>
      <c r="C7" s="195">
        <v>14412080</v>
      </c>
      <c r="D7" s="195">
        <v>11375935</v>
      </c>
      <c r="E7" s="195">
        <v>2372145</v>
      </c>
      <c r="F7" s="195">
        <v>5300547</v>
      </c>
      <c r="G7" s="195">
        <v>5605232</v>
      </c>
      <c r="H7" s="195">
        <v>12701882</v>
      </c>
      <c r="I7" s="195">
        <v>0</v>
      </c>
      <c r="J7" s="195">
        <v>0</v>
      </c>
      <c r="K7" s="195">
        <v>9678459</v>
      </c>
      <c r="L7" s="195">
        <v>0</v>
      </c>
      <c r="M7" s="195">
        <f t="shared" si="0"/>
        <v>61446280</v>
      </c>
      <c r="N7" s="195">
        <v>64095051</v>
      </c>
      <c r="O7" s="195">
        <v>0</v>
      </c>
      <c r="P7" s="195">
        <v>2450000</v>
      </c>
      <c r="Q7" s="194">
        <f t="shared" si="1"/>
        <v>92.3</v>
      </c>
      <c r="R7" s="194">
        <f t="shared" si="2"/>
        <v>95.9</v>
      </c>
    </row>
    <row r="8" spans="1:18" ht="14.25">
      <c r="A8" s="100">
        <v>4</v>
      </c>
      <c r="B8" s="100" t="s">
        <v>3</v>
      </c>
      <c r="C8" s="195">
        <v>18678957</v>
      </c>
      <c r="D8" s="195">
        <v>10211659</v>
      </c>
      <c r="E8" s="195">
        <v>1615325</v>
      </c>
      <c r="F8" s="195">
        <v>7440801</v>
      </c>
      <c r="G8" s="195">
        <v>2030315</v>
      </c>
      <c r="H8" s="195">
        <v>15722678</v>
      </c>
      <c r="I8" s="195">
        <v>0</v>
      </c>
      <c r="J8" s="195">
        <v>5852</v>
      </c>
      <c r="K8" s="195">
        <v>7800080</v>
      </c>
      <c r="L8" s="195">
        <v>0</v>
      </c>
      <c r="M8" s="195">
        <f t="shared" si="0"/>
        <v>63505667</v>
      </c>
      <c r="N8" s="195">
        <v>69070013</v>
      </c>
      <c r="O8" s="195">
        <v>0</v>
      </c>
      <c r="P8" s="195">
        <v>2412968</v>
      </c>
      <c r="Q8" s="194">
        <f t="shared" si="1"/>
        <v>88.8</v>
      </c>
      <c r="R8" s="194">
        <f t="shared" si="2"/>
        <v>91.9</v>
      </c>
    </row>
    <row r="9" spans="1:18" ht="14.25">
      <c r="A9" s="100">
        <v>5</v>
      </c>
      <c r="B9" s="100" t="s">
        <v>4</v>
      </c>
      <c r="C9" s="195">
        <v>4348754</v>
      </c>
      <c r="D9" s="195">
        <v>1694750</v>
      </c>
      <c r="E9" s="195">
        <v>127422</v>
      </c>
      <c r="F9" s="195">
        <v>1077621</v>
      </c>
      <c r="G9" s="195">
        <v>2349154</v>
      </c>
      <c r="H9" s="195">
        <v>3735189</v>
      </c>
      <c r="I9" s="195">
        <v>0</v>
      </c>
      <c r="J9" s="195">
        <v>29909</v>
      </c>
      <c r="K9" s="195">
        <v>2115144</v>
      </c>
      <c r="L9" s="195">
        <v>0</v>
      </c>
      <c r="M9" s="195">
        <f t="shared" si="0"/>
        <v>15477943</v>
      </c>
      <c r="N9" s="195">
        <v>16257539</v>
      </c>
      <c r="O9" s="195">
        <v>0</v>
      </c>
      <c r="P9" s="195">
        <v>773900</v>
      </c>
      <c r="Q9" s="194">
        <f t="shared" si="1"/>
        <v>90.9</v>
      </c>
      <c r="R9" s="194">
        <f t="shared" si="2"/>
        <v>95.2</v>
      </c>
    </row>
    <row r="10" spans="1:18" ht="14.25">
      <c r="A10" s="100">
        <v>6</v>
      </c>
      <c r="B10" s="100" t="s">
        <v>5</v>
      </c>
      <c r="C10" s="195">
        <v>4228167</v>
      </c>
      <c r="D10" s="195">
        <v>2666289</v>
      </c>
      <c r="E10" s="195">
        <v>455061</v>
      </c>
      <c r="F10" s="195">
        <v>1205828</v>
      </c>
      <c r="G10" s="195">
        <v>2408904</v>
      </c>
      <c r="H10" s="195">
        <v>3006448</v>
      </c>
      <c r="I10" s="195">
        <v>0</v>
      </c>
      <c r="J10" s="195">
        <v>2400</v>
      </c>
      <c r="K10" s="195">
        <v>1595826</v>
      </c>
      <c r="L10" s="195">
        <v>0</v>
      </c>
      <c r="M10" s="195">
        <f t="shared" si="0"/>
        <v>15568923</v>
      </c>
      <c r="N10" s="195">
        <v>16642040</v>
      </c>
      <c r="O10" s="195">
        <v>0</v>
      </c>
      <c r="P10" s="195">
        <v>818700</v>
      </c>
      <c r="Q10" s="194">
        <f t="shared" si="1"/>
        <v>89.2</v>
      </c>
      <c r="R10" s="194">
        <f t="shared" si="2"/>
        <v>93.6</v>
      </c>
    </row>
    <row r="11" spans="1:18" ht="14.25">
      <c r="A11" s="100">
        <v>7</v>
      </c>
      <c r="B11" s="100" t="s">
        <v>6</v>
      </c>
      <c r="C11" s="195">
        <v>4757219</v>
      </c>
      <c r="D11" s="195">
        <v>1494280</v>
      </c>
      <c r="E11" s="195">
        <v>333613</v>
      </c>
      <c r="F11" s="195">
        <v>873334</v>
      </c>
      <c r="G11" s="195">
        <v>2079119</v>
      </c>
      <c r="H11" s="195">
        <v>2939692</v>
      </c>
      <c r="I11" s="195">
        <v>0</v>
      </c>
      <c r="J11" s="195">
        <v>0</v>
      </c>
      <c r="K11" s="195">
        <v>1222756</v>
      </c>
      <c r="L11" s="195">
        <v>0</v>
      </c>
      <c r="M11" s="195">
        <f t="shared" si="0"/>
        <v>13700013</v>
      </c>
      <c r="N11" s="195">
        <v>15221633</v>
      </c>
      <c r="O11" s="195">
        <v>0</v>
      </c>
      <c r="P11" s="195">
        <v>755770</v>
      </c>
      <c r="Q11" s="194">
        <f t="shared" si="1"/>
        <v>85.7</v>
      </c>
      <c r="R11" s="194">
        <f t="shared" si="2"/>
        <v>90</v>
      </c>
    </row>
    <row r="12" spans="1:18" ht="14.25">
      <c r="A12" s="100">
        <v>8</v>
      </c>
      <c r="B12" s="100" t="s">
        <v>7</v>
      </c>
      <c r="C12" s="195">
        <v>2575880</v>
      </c>
      <c r="D12" s="195">
        <v>1074378</v>
      </c>
      <c r="E12" s="195">
        <v>115794</v>
      </c>
      <c r="F12" s="195">
        <v>611646</v>
      </c>
      <c r="G12" s="195">
        <v>1483761</v>
      </c>
      <c r="H12" s="195">
        <v>2065001</v>
      </c>
      <c r="I12" s="195">
        <v>0</v>
      </c>
      <c r="J12" s="195">
        <v>0</v>
      </c>
      <c r="K12" s="195">
        <v>1227415</v>
      </c>
      <c r="L12" s="195">
        <v>0</v>
      </c>
      <c r="M12" s="195">
        <f t="shared" si="0"/>
        <v>9153875</v>
      </c>
      <c r="N12" s="195">
        <v>9111320</v>
      </c>
      <c r="O12" s="195">
        <v>0</v>
      </c>
      <c r="P12" s="195">
        <v>347500</v>
      </c>
      <c r="Q12" s="194">
        <f t="shared" si="1"/>
        <v>96.8</v>
      </c>
      <c r="R12" s="194">
        <f t="shared" si="2"/>
        <v>100.5</v>
      </c>
    </row>
    <row r="13" spans="1:18" ht="14.25">
      <c r="A13" s="100">
        <v>9</v>
      </c>
      <c r="B13" s="100" t="s">
        <v>8</v>
      </c>
      <c r="C13" s="195">
        <v>4661763</v>
      </c>
      <c r="D13" s="195">
        <v>2169728</v>
      </c>
      <c r="E13" s="195">
        <v>144321</v>
      </c>
      <c r="F13" s="195">
        <v>823290</v>
      </c>
      <c r="G13" s="195">
        <v>2852503</v>
      </c>
      <c r="H13" s="195">
        <v>3067938</v>
      </c>
      <c r="I13" s="195">
        <v>0</v>
      </c>
      <c r="J13" s="195">
        <v>0</v>
      </c>
      <c r="K13" s="195">
        <v>1566508</v>
      </c>
      <c r="L13" s="195">
        <v>0</v>
      </c>
      <c r="M13" s="195">
        <f t="shared" si="0"/>
        <v>15286051</v>
      </c>
      <c r="N13" s="195">
        <v>15774413</v>
      </c>
      <c r="O13" s="195">
        <v>0</v>
      </c>
      <c r="P13" s="195">
        <v>776328</v>
      </c>
      <c r="Q13" s="194">
        <f t="shared" si="1"/>
        <v>92.4</v>
      </c>
      <c r="R13" s="194">
        <f t="shared" si="2"/>
        <v>96.9</v>
      </c>
    </row>
    <row r="14" spans="1:18" ht="14.25">
      <c r="A14" s="100">
        <v>10</v>
      </c>
      <c r="B14" s="100" t="s">
        <v>155</v>
      </c>
      <c r="C14" s="195">
        <v>3957514</v>
      </c>
      <c r="D14" s="195">
        <v>1421465</v>
      </c>
      <c r="E14" s="195">
        <v>71630</v>
      </c>
      <c r="F14" s="195">
        <v>463902</v>
      </c>
      <c r="G14" s="195">
        <v>1821057</v>
      </c>
      <c r="H14" s="195">
        <v>2978622</v>
      </c>
      <c r="I14" s="195">
        <v>0</v>
      </c>
      <c r="J14" s="195">
        <v>0</v>
      </c>
      <c r="K14" s="195">
        <v>1282871</v>
      </c>
      <c r="L14" s="195">
        <v>0</v>
      </c>
      <c r="M14" s="195">
        <f t="shared" si="0"/>
        <v>11997061</v>
      </c>
      <c r="N14" s="195">
        <v>12513965</v>
      </c>
      <c r="O14" s="195">
        <v>0</v>
      </c>
      <c r="P14" s="195">
        <v>673500</v>
      </c>
      <c r="Q14" s="194">
        <f t="shared" si="1"/>
        <v>91</v>
      </c>
      <c r="R14" s="194">
        <f t="shared" si="2"/>
        <v>95.9</v>
      </c>
    </row>
    <row r="15" spans="1:18" ht="14.25">
      <c r="A15" s="100">
        <v>11</v>
      </c>
      <c r="B15" s="100" t="s">
        <v>230</v>
      </c>
      <c r="C15" s="195">
        <v>5118386</v>
      </c>
      <c r="D15" s="195">
        <v>2518696</v>
      </c>
      <c r="E15" s="195">
        <v>162955</v>
      </c>
      <c r="F15" s="195">
        <v>1325245</v>
      </c>
      <c r="G15" s="195">
        <v>2224151</v>
      </c>
      <c r="H15" s="195">
        <v>3497541</v>
      </c>
      <c r="I15" s="195">
        <v>0</v>
      </c>
      <c r="J15" s="195">
        <v>16811</v>
      </c>
      <c r="K15" s="195">
        <v>1511848</v>
      </c>
      <c r="L15" s="195">
        <v>0</v>
      </c>
      <c r="M15" s="195">
        <f t="shared" si="0"/>
        <v>16375633</v>
      </c>
      <c r="N15" s="195">
        <v>17049896</v>
      </c>
      <c r="O15" s="195">
        <v>0</v>
      </c>
      <c r="P15" s="195">
        <v>761300</v>
      </c>
      <c r="Q15" s="194">
        <f t="shared" si="1"/>
        <v>91.9</v>
      </c>
      <c r="R15" s="194">
        <f t="shared" si="2"/>
        <v>96</v>
      </c>
    </row>
    <row r="16" spans="1:18" ht="14.25">
      <c r="A16" s="100">
        <v>12</v>
      </c>
      <c r="B16" s="100" t="s">
        <v>231</v>
      </c>
      <c r="C16" s="195">
        <v>4937396</v>
      </c>
      <c r="D16" s="195">
        <v>2188373</v>
      </c>
      <c r="E16" s="195">
        <v>160342</v>
      </c>
      <c r="F16" s="195">
        <v>863324</v>
      </c>
      <c r="G16" s="195">
        <v>2271808</v>
      </c>
      <c r="H16" s="195">
        <v>3433110</v>
      </c>
      <c r="I16" s="195">
        <v>0</v>
      </c>
      <c r="J16" s="195">
        <v>0</v>
      </c>
      <c r="K16" s="195">
        <v>1654559</v>
      </c>
      <c r="L16" s="195">
        <v>0</v>
      </c>
      <c r="M16" s="195">
        <f t="shared" si="0"/>
        <v>15508912</v>
      </c>
      <c r="N16" s="195">
        <v>15746787</v>
      </c>
      <c r="O16" s="195">
        <v>0</v>
      </c>
      <c r="P16" s="195">
        <v>875100</v>
      </c>
      <c r="Q16" s="194">
        <f t="shared" si="1"/>
        <v>93.3</v>
      </c>
      <c r="R16" s="194">
        <f t="shared" si="2"/>
        <v>98.5</v>
      </c>
    </row>
    <row r="17" spans="1:18" ht="14.25">
      <c r="A17" s="100">
        <v>13</v>
      </c>
      <c r="B17" s="100" t="s">
        <v>285</v>
      </c>
      <c r="C17" s="195">
        <v>2166045</v>
      </c>
      <c r="D17" s="195">
        <v>790596</v>
      </c>
      <c r="E17" s="195">
        <v>32430</v>
      </c>
      <c r="F17" s="195">
        <v>289251</v>
      </c>
      <c r="G17" s="195">
        <v>1267331</v>
      </c>
      <c r="H17" s="195">
        <v>1286811</v>
      </c>
      <c r="I17" s="195">
        <v>0</v>
      </c>
      <c r="J17" s="195">
        <v>87000</v>
      </c>
      <c r="K17" s="195">
        <v>809266</v>
      </c>
      <c r="L17" s="195">
        <v>0</v>
      </c>
      <c r="M17" s="195">
        <f t="shared" si="0"/>
        <v>6728730</v>
      </c>
      <c r="N17" s="195">
        <v>7409875</v>
      </c>
      <c r="O17" s="195">
        <v>0</v>
      </c>
      <c r="P17" s="195">
        <v>378600</v>
      </c>
      <c r="Q17" s="194">
        <f>ROUND(M17/SUM(N17:P17)*100,1)</f>
        <v>86.4</v>
      </c>
      <c r="R17" s="194">
        <f>ROUND(M17/N17*100,1)</f>
        <v>90.8</v>
      </c>
    </row>
    <row r="18" spans="1:18" ht="14.25">
      <c r="A18" s="100">
        <v>14</v>
      </c>
      <c r="B18" s="100" t="s">
        <v>10</v>
      </c>
      <c r="C18" s="195">
        <v>967653</v>
      </c>
      <c r="D18" s="195">
        <v>395940</v>
      </c>
      <c r="E18" s="195">
        <v>39431</v>
      </c>
      <c r="F18" s="195">
        <v>164658</v>
      </c>
      <c r="G18" s="195">
        <v>390529</v>
      </c>
      <c r="H18" s="195">
        <v>456212</v>
      </c>
      <c r="I18" s="195">
        <v>0</v>
      </c>
      <c r="J18" s="195">
        <v>0</v>
      </c>
      <c r="K18" s="195">
        <v>371124</v>
      </c>
      <c r="L18" s="195">
        <v>0</v>
      </c>
      <c r="M18" s="195">
        <f t="shared" si="0"/>
        <v>2785547</v>
      </c>
      <c r="N18" s="195">
        <v>3073921</v>
      </c>
      <c r="O18" s="195">
        <v>0</v>
      </c>
      <c r="P18" s="195">
        <v>175400</v>
      </c>
      <c r="Q18" s="194">
        <f t="shared" si="1"/>
        <v>85.7</v>
      </c>
      <c r="R18" s="194">
        <f t="shared" si="2"/>
        <v>90.6</v>
      </c>
    </row>
    <row r="19" spans="1:18" ht="14.25">
      <c r="A19" s="100">
        <v>15</v>
      </c>
      <c r="B19" s="100" t="s">
        <v>12</v>
      </c>
      <c r="C19" s="195">
        <v>822768</v>
      </c>
      <c r="D19" s="195">
        <v>336446</v>
      </c>
      <c r="E19" s="195">
        <v>21347</v>
      </c>
      <c r="F19" s="195">
        <v>97159</v>
      </c>
      <c r="G19" s="195">
        <v>632520</v>
      </c>
      <c r="H19" s="195">
        <v>520171</v>
      </c>
      <c r="I19" s="195">
        <v>0</v>
      </c>
      <c r="J19" s="195">
        <v>1099</v>
      </c>
      <c r="K19" s="195">
        <v>238675</v>
      </c>
      <c r="L19" s="195">
        <v>0</v>
      </c>
      <c r="M19" s="195">
        <f t="shared" si="0"/>
        <v>2670185</v>
      </c>
      <c r="N19" s="195">
        <v>2855557</v>
      </c>
      <c r="O19" s="195">
        <v>0</v>
      </c>
      <c r="P19" s="195">
        <v>157572</v>
      </c>
      <c r="Q19" s="194">
        <f t="shared" si="1"/>
        <v>88.6</v>
      </c>
      <c r="R19" s="194">
        <f t="shared" si="2"/>
        <v>93.5</v>
      </c>
    </row>
    <row r="20" spans="1:18" ht="14.25">
      <c r="A20" s="100">
        <v>16</v>
      </c>
      <c r="B20" s="100" t="s">
        <v>17</v>
      </c>
      <c r="C20" s="195">
        <v>1143777</v>
      </c>
      <c r="D20" s="195">
        <v>561910</v>
      </c>
      <c r="E20" s="195">
        <v>27605</v>
      </c>
      <c r="F20" s="195">
        <v>140228</v>
      </c>
      <c r="G20" s="195">
        <v>505981</v>
      </c>
      <c r="H20" s="195">
        <v>746001</v>
      </c>
      <c r="I20" s="195">
        <v>0</v>
      </c>
      <c r="J20" s="195">
        <v>0</v>
      </c>
      <c r="K20" s="195">
        <v>413873</v>
      </c>
      <c r="L20" s="195">
        <v>0</v>
      </c>
      <c r="M20" s="195">
        <f t="shared" si="0"/>
        <v>3539375</v>
      </c>
      <c r="N20" s="195">
        <v>3717438</v>
      </c>
      <c r="O20" s="195">
        <v>0</v>
      </c>
      <c r="P20" s="195">
        <v>200900</v>
      </c>
      <c r="Q20" s="194">
        <f t="shared" si="1"/>
        <v>90.3</v>
      </c>
      <c r="R20" s="194">
        <f t="shared" si="2"/>
        <v>95.2</v>
      </c>
    </row>
    <row r="21" spans="1:18" ht="14.25">
      <c r="A21" s="100">
        <v>17</v>
      </c>
      <c r="B21" s="100" t="s">
        <v>18</v>
      </c>
      <c r="C21" s="195">
        <v>590364</v>
      </c>
      <c r="D21" s="195">
        <v>161861</v>
      </c>
      <c r="E21" s="195">
        <v>17786</v>
      </c>
      <c r="F21" s="195">
        <v>85104</v>
      </c>
      <c r="G21" s="195">
        <v>193100</v>
      </c>
      <c r="H21" s="195">
        <v>399474</v>
      </c>
      <c r="I21" s="195">
        <v>0</v>
      </c>
      <c r="J21" s="195">
        <v>0</v>
      </c>
      <c r="K21" s="195">
        <v>177105</v>
      </c>
      <c r="L21" s="195">
        <v>0</v>
      </c>
      <c r="M21" s="195">
        <f t="shared" si="0"/>
        <v>1624794</v>
      </c>
      <c r="N21" s="195">
        <v>1716363</v>
      </c>
      <c r="O21" s="195">
        <v>0</v>
      </c>
      <c r="P21" s="195">
        <v>120000</v>
      </c>
      <c r="Q21" s="194">
        <f t="shared" si="1"/>
        <v>88.5</v>
      </c>
      <c r="R21" s="194">
        <f t="shared" si="2"/>
        <v>94.7</v>
      </c>
    </row>
    <row r="22" spans="1:18" ht="14.25">
      <c r="A22" s="100">
        <v>18</v>
      </c>
      <c r="B22" s="100" t="s">
        <v>19</v>
      </c>
      <c r="C22" s="195">
        <v>821410</v>
      </c>
      <c r="D22" s="195">
        <v>192489</v>
      </c>
      <c r="E22" s="195">
        <v>14257</v>
      </c>
      <c r="F22" s="195">
        <v>52949</v>
      </c>
      <c r="G22" s="195">
        <v>318597</v>
      </c>
      <c r="H22" s="195">
        <v>387789</v>
      </c>
      <c r="I22" s="195">
        <v>0</v>
      </c>
      <c r="J22" s="195">
        <v>0</v>
      </c>
      <c r="K22" s="195">
        <v>174485</v>
      </c>
      <c r="L22" s="195">
        <v>0</v>
      </c>
      <c r="M22" s="195">
        <f t="shared" si="0"/>
        <v>1961976</v>
      </c>
      <c r="N22" s="195">
        <v>2283365</v>
      </c>
      <c r="O22" s="195">
        <v>6400</v>
      </c>
      <c r="P22" s="195">
        <v>146900</v>
      </c>
      <c r="Q22" s="194">
        <f t="shared" si="1"/>
        <v>80.5</v>
      </c>
      <c r="R22" s="194">
        <f t="shared" si="2"/>
        <v>85.9</v>
      </c>
    </row>
    <row r="23" spans="1:18" ht="14.25">
      <c r="A23" s="100">
        <v>19</v>
      </c>
      <c r="B23" s="100" t="s">
        <v>20</v>
      </c>
      <c r="C23" s="195">
        <v>746038</v>
      </c>
      <c r="D23" s="195">
        <v>289403</v>
      </c>
      <c r="E23" s="195">
        <v>16994</v>
      </c>
      <c r="F23" s="195">
        <v>94473</v>
      </c>
      <c r="G23" s="195">
        <v>390247</v>
      </c>
      <c r="H23" s="195">
        <v>742559</v>
      </c>
      <c r="I23" s="195">
        <v>0</v>
      </c>
      <c r="J23" s="195">
        <v>13933</v>
      </c>
      <c r="K23" s="195">
        <v>328134</v>
      </c>
      <c r="L23" s="195">
        <v>0</v>
      </c>
      <c r="M23" s="195">
        <f t="shared" si="0"/>
        <v>2621781</v>
      </c>
      <c r="N23" s="195">
        <v>2848033</v>
      </c>
      <c r="O23" s="195">
        <v>0</v>
      </c>
      <c r="P23" s="195">
        <v>171200</v>
      </c>
      <c r="Q23" s="194">
        <f t="shared" si="1"/>
        <v>86.8</v>
      </c>
      <c r="R23" s="194">
        <f t="shared" si="2"/>
        <v>92.1</v>
      </c>
    </row>
    <row r="24" spans="1:18" ht="14.25">
      <c r="A24" s="100">
        <v>20</v>
      </c>
      <c r="B24" s="100" t="s">
        <v>21</v>
      </c>
      <c r="C24" s="195">
        <v>775130</v>
      </c>
      <c r="D24" s="195">
        <v>328663</v>
      </c>
      <c r="E24" s="195">
        <v>37659</v>
      </c>
      <c r="F24" s="195">
        <v>40516</v>
      </c>
      <c r="G24" s="195">
        <v>260321</v>
      </c>
      <c r="H24" s="195">
        <v>452104</v>
      </c>
      <c r="I24" s="195">
        <v>0</v>
      </c>
      <c r="J24" s="195">
        <v>0</v>
      </c>
      <c r="K24" s="195">
        <v>200867</v>
      </c>
      <c r="L24" s="195">
        <v>0</v>
      </c>
      <c r="M24" s="195">
        <f t="shared" si="0"/>
        <v>2095260</v>
      </c>
      <c r="N24" s="195">
        <v>2416730</v>
      </c>
      <c r="O24" s="195">
        <v>0</v>
      </c>
      <c r="P24" s="195">
        <v>142111</v>
      </c>
      <c r="Q24" s="194">
        <f t="shared" si="1"/>
        <v>81.9</v>
      </c>
      <c r="R24" s="194">
        <f t="shared" si="2"/>
        <v>86.7</v>
      </c>
    </row>
    <row r="25" spans="1:18" ht="14.25">
      <c r="A25" s="100">
        <v>21</v>
      </c>
      <c r="B25" s="100" t="s">
        <v>23</v>
      </c>
      <c r="C25" s="195">
        <v>835666</v>
      </c>
      <c r="D25" s="195">
        <v>324387</v>
      </c>
      <c r="E25" s="195">
        <v>65318</v>
      </c>
      <c r="F25" s="195">
        <v>62289</v>
      </c>
      <c r="G25" s="195">
        <v>592152</v>
      </c>
      <c r="H25" s="195">
        <v>713443</v>
      </c>
      <c r="I25" s="195">
        <v>0</v>
      </c>
      <c r="J25" s="195">
        <v>0</v>
      </c>
      <c r="K25" s="195">
        <v>303109</v>
      </c>
      <c r="L25" s="195">
        <v>0</v>
      </c>
      <c r="M25" s="195">
        <f t="shared" si="0"/>
        <v>2896364</v>
      </c>
      <c r="N25" s="195">
        <v>2972431</v>
      </c>
      <c r="O25" s="195">
        <v>0</v>
      </c>
      <c r="P25" s="195">
        <v>157402</v>
      </c>
      <c r="Q25" s="194">
        <f t="shared" si="1"/>
        <v>92.5</v>
      </c>
      <c r="R25" s="194">
        <f t="shared" si="2"/>
        <v>97.4</v>
      </c>
    </row>
    <row r="26" spans="1:18" ht="14.25">
      <c r="A26" s="100">
        <v>22</v>
      </c>
      <c r="B26" s="100" t="s">
        <v>232</v>
      </c>
      <c r="C26" s="195">
        <v>276768</v>
      </c>
      <c r="D26" s="195">
        <v>171127</v>
      </c>
      <c r="E26" s="195">
        <v>16427</v>
      </c>
      <c r="F26" s="195">
        <v>3188</v>
      </c>
      <c r="G26" s="195">
        <v>99536</v>
      </c>
      <c r="H26" s="195">
        <v>277879</v>
      </c>
      <c r="I26" s="195">
        <v>0</v>
      </c>
      <c r="J26" s="195">
        <v>0</v>
      </c>
      <c r="K26" s="195">
        <v>62211</v>
      </c>
      <c r="L26" s="195">
        <v>0</v>
      </c>
      <c r="M26" s="195">
        <f t="shared" si="0"/>
        <v>907136</v>
      </c>
      <c r="N26" s="195">
        <v>1091017</v>
      </c>
      <c r="O26" s="195">
        <v>0</v>
      </c>
      <c r="P26" s="195">
        <v>70000</v>
      </c>
      <c r="Q26" s="194">
        <f t="shared" si="1"/>
        <v>78.1</v>
      </c>
      <c r="R26" s="194">
        <f t="shared" si="2"/>
        <v>83.1</v>
      </c>
    </row>
    <row r="27" spans="1:18" ht="14.25">
      <c r="A27" s="100">
        <v>23</v>
      </c>
      <c r="B27" s="100" t="s">
        <v>28</v>
      </c>
      <c r="C27" s="195">
        <v>741441</v>
      </c>
      <c r="D27" s="195">
        <v>359026</v>
      </c>
      <c r="E27" s="195">
        <v>102605</v>
      </c>
      <c r="F27" s="195">
        <v>30232</v>
      </c>
      <c r="G27" s="195">
        <v>433595</v>
      </c>
      <c r="H27" s="195">
        <v>704194</v>
      </c>
      <c r="I27" s="195">
        <v>0</v>
      </c>
      <c r="J27" s="195">
        <v>0</v>
      </c>
      <c r="K27" s="195">
        <v>305093</v>
      </c>
      <c r="L27" s="195">
        <v>0</v>
      </c>
      <c r="M27" s="195">
        <f t="shared" si="0"/>
        <v>2676186</v>
      </c>
      <c r="N27" s="195">
        <v>3175075</v>
      </c>
      <c r="O27" s="195">
        <v>0</v>
      </c>
      <c r="P27" s="195">
        <v>180800</v>
      </c>
      <c r="Q27" s="194">
        <f t="shared" si="1"/>
        <v>79.7</v>
      </c>
      <c r="R27" s="194">
        <f t="shared" si="2"/>
        <v>84.3</v>
      </c>
    </row>
    <row r="28" spans="1:18" ht="14.25">
      <c r="A28" s="100">
        <v>24</v>
      </c>
      <c r="B28" s="100" t="s">
        <v>233</v>
      </c>
      <c r="C28" s="195">
        <v>2343918</v>
      </c>
      <c r="D28" s="195">
        <v>1030966</v>
      </c>
      <c r="E28" s="195">
        <v>253874</v>
      </c>
      <c r="F28" s="195">
        <v>225223</v>
      </c>
      <c r="G28" s="195">
        <v>1233119</v>
      </c>
      <c r="H28" s="195">
        <v>1989147</v>
      </c>
      <c r="I28" s="195">
        <v>0</v>
      </c>
      <c r="J28" s="195">
        <v>0</v>
      </c>
      <c r="K28" s="195">
        <v>1005537</v>
      </c>
      <c r="L28" s="195">
        <v>0</v>
      </c>
      <c r="M28" s="195">
        <f t="shared" si="0"/>
        <v>8081784</v>
      </c>
      <c r="N28" s="195">
        <v>8106528</v>
      </c>
      <c r="O28" s="195">
        <v>0</v>
      </c>
      <c r="P28" s="195">
        <v>442500</v>
      </c>
      <c r="Q28" s="194">
        <f t="shared" si="1"/>
        <v>94.5</v>
      </c>
      <c r="R28" s="194">
        <f t="shared" si="2"/>
        <v>99.7</v>
      </c>
    </row>
    <row r="29" spans="1:18" ht="14.25">
      <c r="A29" s="100">
        <v>25</v>
      </c>
      <c r="B29" s="100" t="s">
        <v>29</v>
      </c>
      <c r="C29" s="195">
        <v>499894</v>
      </c>
      <c r="D29" s="195">
        <v>146258</v>
      </c>
      <c r="E29" s="195">
        <v>47183</v>
      </c>
      <c r="F29" s="195">
        <v>28627</v>
      </c>
      <c r="G29" s="195">
        <v>316713</v>
      </c>
      <c r="H29" s="195">
        <v>589643</v>
      </c>
      <c r="I29" s="195">
        <v>0</v>
      </c>
      <c r="J29" s="195">
        <v>0</v>
      </c>
      <c r="K29" s="195">
        <v>267320</v>
      </c>
      <c r="L29" s="195">
        <v>0</v>
      </c>
      <c r="M29" s="195">
        <f t="shared" si="0"/>
        <v>1895638</v>
      </c>
      <c r="N29" s="195">
        <v>1927579</v>
      </c>
      <c r="O29" s="195">
        <v>0</v>
      </c>
      <c r="P29" s="195">
        <v>107000</v>
      </c>
      <c r="Q29" s="194">
        <f t="shared" si="1"/>
        <v>93.2</v>
      </c>
      <c r="R29" s="194">
        <f t="shared" si="2"/>
        <v>98.3</v>
      </c>
    </row>
    <row r="30" spans="1:18" ht="14.25">
      <c r="A30" s="100">
        <v>26</v>
      </c>
      <c r="B30" s="100" t="s">
        <v>30</v>
      </c>
      <c r="C30" s="195">
        <v>950826</v>
      </c>
      <c r="D30" s="195">
        <v>426984</v>
      </c>
      <c r="E30" s="195">
        <v>58050</v>
      </c>
      <c r="F30" s="195">
        <v>184311</v>
      </c>
      <c r="G30" s="195">
        <v>316910</v>
      </c>
      <c r="H30" s="195">
        <v>827033</v>
      </c>
      <c r="I30" s="195">
        <v>0</v>
      </c>
      <c r="J30" s="195">
        <v>0</v>
      </c>
      <c r="K30" s="195">
        <v>447386</v>
      </c>
      <c r="L30" s="195">
        <v>0</v>
      </c>
      <c r="M30" s="195">
        <f t="shared" si="0"/>
        <v>3211500</v>
      </c>
      <c r="N30" s="195">
        <v>3275420</v>
      </c>
      <c r="O30" s="195">
        <v>0</v>
      </c>
      <c r="P30" s="195">
        <v>166500</v>
      </c>
      <c r="Q30" s="194">
        <f t="shared" si="1"/>
        <v>93.3</v>
      </c>
      <c r="R30" s="194">
        <f t="shared" si="2"/>
        <v>98</v>
      </c>
    </row>
    <row r="31" spans="1:18" ht="14.25">
      <c r="A31" s="100">
        <v>27</v>
      </c>
      <c r="B31" s="100" t="s">
        <v>31</v>
      </c>
      <c r="C31" s="195">
        <v>556330</v>
      </c>
      <c r="D31" s="195">
        <v>242395</v>
      </c>
      <c r="E31" s="195">
        <v>94475</v>
      </c>
      <c r="F31" s="195">
        <v>23938</v>
      </c>
      <c r="G31" s="195">
        <v>194812</v>
      </c>
      <c r="H31" s="195">
        <v>361376</v>
      </c>
      <c r="I31" s="195">
        <v>0</v>
      </c>
      <c r="J31" s="195">
        <v>0</v>
      </c>
      <c r="K31" s="195">
        <v>260779</v>
      </c>
      <c r="L31" s="195">
        <v>0</v>
      </c>
      <c r="M31" s="195">
        <f t="shared" si="0"/>
        <v>1734105</v>
      </c>
      <c r="N31" s="195">
        <v>2047442</v>
      </c>
      <c r="O31" s="195">
        <v>0</v>
      </c>
      <c r="P31" s="195">
        <v>97765</v>
      </c>
      <c r="Q31" s="194">
        <f t="shared" si="1"/>
        <v>80.8</v>
      </c>
      <c r="R31" s="194">
        <f t="shared" si="2"/>
        <v>84.7</v>
      </c>
    </row>
    <row r="32" spans="1:18" ht="14.25">
      <c r="A32" s="100">
        <v>28</v>
      </c>
      <c r="B32" s="100" t="s">
        <v>32</v>
      </c>
      <c r="C32" s="195">
        <v>1348949</v>
      </c>
      <c r="D32" s="195">
        <v>638748</v>
      </c>
      <c r="E32" s="195">
        <v>219577</v>
      </c>
      <c r="F32" s="195">
        <v>134648</v>
      </c>
      <c r="G32" s="195">
        <v>516097</v>
      </c>
      <c r="H32" s="195">
        <v>1188090</v>
      </c>
      <c r="I32" s="195">
        <v>0</v>
      </c>
      <c r="J32" s="195">
        <v>0</v>
      </c>
      <c r="K32" s="195">
        <v>589643</v>
      </c>
      <c r="L32" s="195">
        <v>0</v>
      </c>
      <c r="M32" s="195">
        <f t="shared" si="0"/>
        <v>4635752</v>
      </c>
      <c r="N32" s="195">
        <v>4836795</v>
      </c>
      <c r="O32" s="195">
        <v>0</v>
      </c>
      <c r="P32" s="195">
        <v>224400</v>
      </c>
      <c r="Q32" s="194">
        <f t="shared" si="1"/>
        <v>91.6</v>
      </c>
      <c r="R32" s="194">
        <f t="shared" si="2"/>
        <v>95.8</v>
      </c>
    </row>
    <row r="33" spans="1:18" ht="14.25">
      <c r="A33" s="100">
        <v>29</v>
      </c>
      <c r="B33" s="100" t="s">
        <v>33</v>
      </c>
      <c r="C33" s="195">
        <v>1315601</v>
      </c>
      <c r="D33" s="195">
        <v>645751</v>
      </c>
      <c r="E33" s="195">
        <v>102961</v>
      </c>
      <c r="F33" s="195">
        <v>132543</v>
      </c>
      <c r="G33" s="195">
        <v>579134</v>
      </c>
      <c r="H33" s="195">
        <v>918888</v>
      </c>
      <c r="I33" s="195">
        <v>0</v>
      </c>
      <c r="J33" s="195">
        <v>30027</v>
      </c>
      <c r="K33" s="195">
        <v>501040</v>
      </c>
      <c r="L33" s="195">
        <v>0</v>
      </c>
      <c r="M33" s="195">
        <f t="shared" si="0"/>
        <v>4225945</v>
      </c>
      <c r="N33" s="195">
        <v>4243803</v>
      </c>
      <c r="O33" s="195">
        <v>0</v>
      </c>
      <c r="P33" s="195">
        <v>207800</v>
      </c>
      <c r="Q33" s="194">
        <f t="shared" si="1"/>
        <v>94.9</v>
      </c>
      <c r="R33" s="194">
        <f t="shared" si="2"/>
        <v>99.6</v>
      </c>
    </row>
    <row r="34" spans="1:18" ht="14.25">
      <c r="A34" s="100">
        <v>30</v>
      </c>
      <c r="B34" s="100" t="s">
        <v>34</v>
      </c>
      <c r="C34" s="195">
        <v>484261</v>
      </c>
      <c r="D34" s="195">
        <v>221476</v>
      </c>
      <c r="E34" s="195">
        <v>29362</v>
      </c>
      <c r="F34" s="195">
        <v>30323</v>
      </c>
      <c r="G34" s="195">
        <v>175332</v>
      </c>
      <c r="H34" s="195">
        <v>225526</v>
      </c>
      <c r="I34" s="195">
        <v>0</v>
      </c>
      <c r="J34" s="195">
        <v>0</v>
      </c>
      <c r="K34" s="195">
        <v>211738</v>
      </c>
      <c r="L34" s="195">
        <v>0</v>
      </c>
      <c r="M34" s="195">
        <f t="shared" si="0"/>
        <v>1378018</v>
      </c>
      <c r="N34" s="195">
        <v>1381104</v>
      </c>
      <c r="O34" s="195">
        <v>0</v>
      </c>
      <c r="P34" s="195">
        <v>82300</v>
      </c>
      <c r="Q34" s="194">
        <f t="shared" si="1"/>
        <v>94.2</v>
      </c>
      <c r="R34" s="194">
        <f t="shared" si="2"/>
        <v>99.8</v>
      </c>
    </row>
    <row r="35" spans="1:18" ht="14.25">
      <c r="A35" s="100">
        <v>31</v>
      </c>
      <c r="B35" s="100" t="s">
        <v>35</v>
      </c>
      <c r="C35" s="195">
        <v>587240</v>
      </c>
      <c r="D35" s="195">
        <v>218320</v>
      </c>
      <c r="E35" s="195">
        <v>73781</v>
      </c>
      <c r="F35" s="195">
        <v>27200</v>
      </c>
      <c r="G35" s="195">
        <v>200875</v>
      </c>
      <c r="H35" s="195">
        <v>651027</v>
      </c>
      <c r="I35" s="195">
        <v>0</v>
      </c>
      <c r="J35" s="195">
        <v>815</v>
      </c>
      <c r="K35" s="195">
        <v>237471</v>
      </c>
      <c r="L35" s="195">
        <v>0</v>
      </c>
      <c r="M35" s="195">
        <f t="shared" si="0"/>
        <v>1996729</v>
      </c>
      <c r="N35" s="195">
        <v>2251860</v>
      </c>
      <c r="O35" s="195">
        <v>0</v>
      </c>
      <c r="P35" s="195">
        <v>114216</v>
      </c>
      <c r="Q35" s="194">
        <f t="shared" si="1"/>
        <v>84.4</v>
      </c>
      <c r="R35" s="194">
        <f t="shared" si="2"/>
        <v>88.7</v>
      </c>
    </row>
    <row r="36" spans="1:18" ht="14.25">
      <c r="A36" s="100">
        <v>32</v>
      </c>
      <c r="B36" s="100" t="s">
        <v>36</v>
      </c>
      <c r="C36" s="195">
        <v>358132</v>
      </c>
      <c r="D36" s="195">
        <v>154889</v>
      </c>
      <c r="E36" s="195">
        <v>21480</v>
      </c>
      <c r="F36" s="195">
        <v>11893</v>
      </c>
      <c r="G36" s="195">
        <v>100945</v>
      </c>
      <c r="H36" s="195">
        <v>427004</v>
      </c>
      <c r="I36" s="195">
        <v>0</v>
      </c>
      <c r="J36" s="195">
        <v>0</v>
      </c>
      <c r="K36" s="195">
        <v>146415</v>
      </c>
      <c r="L36" s="195">
        <v>0</v>
      </c>
      <c r="M36" s="195">
        <f t="shared" si="0"/>
        <v>1220758</v>
      </c>
      <c r="N36" s="195">
        <v>1181455</v>
      </c>
      <c r="O36" s="195">
        <v>0</v>
      </c>
      <c r="P36" s="195">
        <v>69100</v>
      </c>
      <c r="Q36" s="194">
        <f t="shared" si="1"/>
        <v>97.6</v>
      </c>
      <c r="R36" s="194">
        <f t="shared" si="2"/>
        <v>103.3</v>
      </c>
    </row>
    <row r="37" spans="1:18" ht="14.25">
      <c r="A37" s="100">
        <v>33</v>
      </c>
      <c r="B37" s="100" t="s">
        <v>37</v>
      </c>
      <c r="C37" s="195">
        <v>571052</v>
      </c>
      <c r="D37" s="195">
        <v>183250</v>
      </c>
      <c r="E37" s="195">
        <v>61712</v>
      </c>
      <c r="F37" s="195">
        <v>23650</v>
      </c>
      <c r="G37" s="195">
        <v>146708</v>
      </c>
      <c r="H37" s="195">
        <v>477996</v>
      </c>
      <c r="I37" s="195">
        <v>0</v>
      </c>
      <c r="J37" s="195">
        <v>0</v>
      </c>
      <c r="K37" s="195">
        <v>168398</v>
      </c>
      <c r="L37" s="195">
        <v>0</v>
      </c>
      <c r="M37" s="195">
        <f t="shared" si="0"/>
        <v>1632766</v>
      </c>
      <c r="N37" s="195">
        <v>1787093</v>
      </c>
      <c r="O37" s="195">
        <v>0</v>
      </c>
      <c r="P37" s="195">
        <v>100955</v>
      </c>
      <c r="Q37" s="194">
        <f t="shared" si="1"/>
        <v>86.5</v>
      </c>
      <c r="R37" s="194">
        <f t="shared" si="2"/>
        <v>91.4</v>
      </c>
    </row>
    <row r="38" spans="1:18" ht="14.25">
      <c r="A38" s="100">
        <v>34</v>
      </c>
      <c r="B38" s="100" t="s">
        <v>38</v>
      </c>
      <c r="C38" s="195">
        <v>350727</v>
      </c>
      <c r="D38" s="195">
        <v>131512</v>
      </c>
      <c r="E38" s="195">
        <v>61682</v>
      </c>
      <c r="F38" s="195">
        <v>29704</v>
      </c>
      <c r="G38" s="195">
        <v>113363</v>
      </c>
      <c r="H38" s="195">
        <v>255369</v>
      </c>
      <c r="I38" s="195">
        <v>0</v>
      </c>
      <c r="J38" s="195">
        <v>0</v>
      </c>
      <c r="K38" s="195">
        <v>228304</v>
      </c>
      <c r="L38" s="195">
        <v>0</v>
      </c>
      <c r="M38" s="195">
        <f t="shared" si="0"/>
        <v>1170661</v>
      </c>
      <c r="N38" s="195">
        <v>1229552</v>
      </c>
      <c r="O38" s="195">
        <v>0</v>
      </c>
      <c r="P38" s="195">
        <v>72013</v>
      </c>
      <c r="Q38" s="194">
        <f t="shared" si="1"/>
        <v>89.9</v>
      </c>
      <c r="R38" s="194">
        <f t="shared" si="2"/>
        <v>95.2</v>
      </c>
    </row>
    <row r="39" spans="1:18" ht="14.25">
      <c r="A39" s="100">
        <v>35</v>
      </c>
      <c r="B39" s="100" t="s">
        <v>234</v>
      </c>
      <c r="C39" s="195">
        <v>2056226</v>
      </c>
      <c r="D39" s="195">
        <v>944014</v>
      </c>
      <c r="E39" s="195">
        <v>84213</v>
      </c>
      <c r="F39" s="195">
        <v>195672</v>
      </c>
      <c r="G39" s="195">
        <v>864481</v>
      </c>
      <c r="H39" s="195">
        <v>1491443</v>
      </c>
      <c r="I39" s="195">
        <v>0</v>
      </c>
      <c r="J39" s="195">
        <v>0</v>
      </c>
      <c r="K39" s="195">
        <v>734022</v>
      </c>
      <c r="L39" s="195">
        <v>0</v>
      </c>
      <c r="M39" s="195">
        <f t="shared" si="0"/>
        <v>6370071</v>
      </c>
      <c r="N39" s="195">
        <v>6840879</v>
      </c>
      <c r="O39" s="195">
        <v>0</v>
      </c>
      <c r="P39" s="195">
        <v>405135</v>
      </c>
      <c r="Q39" s="194">
        <f t="shared" si="1"/>
        <v>87.9</v>
      </c>
      <c r="R39" s="194">
        <f t="shared" si="2"/>
        <v>93.1</v>
      </c>
    </row>
    <row r="40" spans="1:18" ht="14.25">
      <c r="A40" s="100">
        <v>36</v>
      </c>
      <c r="B40" s="100" t="s">
        <v>39</v>
      </c>
      <c r="C40" s="195">
        <v>1302150</v>
      </c>
      <c r="D40" s="195">
        <v>586553</v>
      </c>
      <c r="E40" s="195">
        <v>53837</v>
      </c>
      <c r="F40" s="195">
        <v>181985</v>
      </c>
      <c r="G40" s="195">
        <v>689647</v>
      </c>
      <c r="H40" s="195">
        <v>797538</v>
      </c>
      <c r="I40" s="195">
        <v>0</v>
      </c>
      <c r="J40" s="195">
        <v>0</v>
      </c>
      <c r="K40" s="195">
        <v>611978</v>
      </c>
      <c r="L40" s="195">
        <v>0</v>
      </c>
      <c r="M40" s="195">
        <f t="shared" si="0"/>
        <v>4223688</v>
      </c>
      <c r="N40" s="195">
        <v>7288390</v>
      </c>
      <c r="O40" s="195">
        <v>0</v>
      </c>
      <c r="P40" s="195">
        <v>223900</v>
      </c>
      <c r="Q40" s="194">
        <f t="shared" si="1"/>
        <v>56.2</v>
      </c>
      <c r="R40" s="194">
        <f t="shared" si="2"/>
        <v>58</v>
      </c>
    </row>
    <row r="41" spans="1:18" ht="14.25">
      <c r="A41" s="100">
        <v>37</v>
      </c>
      <c r="B41" s="100" t="s">
        <v>40</v>
      </c>
      <c r="C41" s="195">
        <v>660242</v>
      </c>
      <c r="D41" s="195">
        <v>136060</v>
      </c>
      <c r="E41" s="195">
        <v>5114</v>
      </c>
      <c r="F41" s="195">
        <v>79765</v>
      </c>
      <c r="G41" s="195">
        <v>223610</v>
      </c>
      <c r="H41" s="195">
        <v>429439</v>
      </c>
      <c r="I41" s="195">
        <v>0</v>
      </c>
      <c r="J41" s="195">
        <v>0</v>
      </c>
      <c r="K41" s="195">
        <v>135452</v>
      </c>
      <c r="L41" s="195">
        <v>0</v>
      </c>
      <c r="M41" s="195">
        <f t="shared" si="0"/>
        <v>1669682</v>
      </c>
      <c r="N41" s="195">
        <v>2157184</v>
      </c>
      <c r="O41" s="195">
        <v>0</v>
      </c>
      <c r="P41" s="195">
        <v>123915</v>
      </c>
      <c r="Q41" s="194">
        <f t="shared" si="1"/>
        <v>73.2</v>
      </c>
      <c r="R41" s="194">
        <f t="shared" si="2"/>
        <v>77.4</v>
      </c>
    </row>
    <row r="42" spans="1:18" ht="14.25">
      <c r="A42" s="100">
        <v>38</v>
      </c>
      <c r="B42" s="100" t="s">
        <v>41</v>
      </c>
      <c r="C42" s="195">
        <v>483535</v>
      </c>
      <c r="D42" s="195">
        <v>181677</v>
      </c>
      <c r="E42" s="195">
        <v>5527</v>
      </c>
      <c r="F42" s="195">
        <v>49738</v>
      </c>
      <c r="G42" s="195">
        <v>244468</v>
      </c>
      <c r="H42" s="195">
        <v>245948</v>
      </c>
      <c r="I42" s="195">
        <v>0</v>
      </c>
      <c r="J42" s="195">
        <v>4289</v>
      </c>
      <c r="K42" s="195">
        <v>114435</v>
      </c>
      <c r="L42" s="195">
        <v>0</v>
      </c>
      <c r="M42" s="195">
        <f t="shared" si="0"/>
        <v>1329617</v>
      </c>
      <c r="N42" s="195">
        <v>1544847</v>
      </c>
      <c r="O42" s="195">
        <v>0</v>
      </c>
      <c r="P42" s="195">
        <v>104640</v>
      </c>
      <c r="Q42" s="194">
        <f t="shared" si="1"/>
        <v>80.6</v>
      </c>
      <c r="R42" s="194">
        <f t="shared" si="2"/>
        <v>86.1</v>
      </c>
    </row>
    <row r="43" spans="1:18" ht="14.25">
      <c r="A43" s="100">
        <v>39</v>
      </c>
      <c r="B43" s="100" t="s">
        <v>42</v>
      </c>
      <c r="C43" s="195">
        <v>1193721</v>
      </c>
      <c r="D43" s="195">
        <v>414223</v>
      </c>
      <c r="E43" s="195">
        <v>26857</v>
      </c>
      <c r="F43" s="195">
        <v>153109</v>
      </c>
      <c r="G43" s="195">
        <v>736802</v>
      </c>
      <c r="H43" s="195">
        <v>969578</v>
      </c>
      <c r="I43" s="195">
        <v>0</v>
      </c>
      <c r="J43" s="195">
        <v>437</v>
      </c>
      <c r="K43" s="195">
        <v>512535</v>
      </c>
      <c r="L43" s="195">
        <v>0</v>
      </c>
      <c r="M43" s="195">
        <f t="shared" si="0"/>
        <v>4007262</v>
      </c>
      <c r="N43" s="195">
        <v>4261921</v>
      </c>
      <c r="O43" s="195">
        <v>0</v>
      </c>
      <c r="P43" s="195">
        <v>210050</v>
      </c>
      <c r="Q43" s="194">
        <f t="shared" si="1"/>
        <v>89.6</v>
      </c>
      <c r="R43" s="194">
        <f t="shared" si="2"/>
        <v>94</v>
      </c>
    </row>
    <row r="44" spans="1:18" ht="14.25">
      <c r="A44" s="100">
        <v>40</v>
      </c>
      <c r="B44" s="100" t="s">
        <v>43</v>
      </c>
      <c r="C44" s="195">
        <v>1139888</v>
      </c>
      <c r="D44" s="195">
        <v>388236</v>
      </c>
      <c r="E44" s="195">
        <v>44131</v>
      </c>
      <c r="F44" s="195">
        <v>164164</v>
      </c>
      <c r="G44" s="195">
        <v>551582</v>
      </c>
      <c r="H44" s="195">
        <v>546690</v>
      </c>
      <c r="I44" s="195">
        <v>0</v>
      </c>
      <c r="J44" s="195">
        <v>0</v>
      </c>
      <c r="K44" s="195">
        <v>388565</v>
      </c>
      <c r="L44" s="195">
        <v>0</v>
      </c>
      <c r="M44" s="195">
        <f t="shared" si="0"/>
        <v>3223256</v>
      </c>
      <c r="N44" s="195">
        <v>3436464</v>
      </c>
      <c r="O44" s="195">
        <v>0</v>
      </c>
      <c r="P44" s="195">
        <v>198100</v>
      </c>
      <c r="Q44" s="194">
        <f t="shared" si="1"/>
        <v>88.7</v>
      </c>
      <c r="R44" s="194">
        <f t="shared" si="2"/>
        <v>93.8</v>
      </c>
    </row>
    <row r="45" spans="1:18" ht="14.25">
      <c r="A45" s="100">
        <v>41</v>
      </c>
      <c r="B45" s="100" t="s">
        <v>44</v>
      </c>
      <c r="C45" s="195">
        <v>614107</v>
      </c>
      <c r="D45" s="195">
        <v>245272</v>
      </c>
      <c r="E45" s="195">
        <v>9593</v>
      </c>
      <c r="F45" s="195">
        <v>48287</v>
      </c>
      <c r="G45" s="195">
        <v>270658</v>
      </c>
      <c r="H45" s="195">
        <v>565036</v>
      </c>
      <c r="I45" s="195">
        <v>0</v>
      </c>
      <c r="J45" s="195">
        <v>0</v>
      </c>
      <c r="K45" s="195">
        <v>227617</v>
      </c>
      <c r="L45" s="195">
        <v>0</v>
      </c>
      <c r="M45" s="195">
        <f t="shared" si="0"/>
        <v>1980570</v>
      </c>
      <c r="N45" s="195">
        <v>2266193</v>
      </c>
      <c r="O45" s="195">
        <v>0</v>
      </c>
      <c r="P45" s="195">
        <v>134888</v>
      </c>
      <c r="Q45" s="194">
        <f t="shared" si="1"/>
        <v>82.5</v>
      </c>
      <c r="R45" s="194">
        <f t="shared" si="2"/>
        <v>87.4</v>
      </c>
    </row>
    <row r="46" spans="1:18" ht="14.25">
      <c r="A46" s="100">
        <v>42</v>
      </c>
      <c r="B46" s="100" t="s">
        <v>45</v>
      </c>
      <c r="C46" s="195">
        <v>872889</v>
      </c>
      <c r="D46" s="195">
        <v>375950</v>
      </c>
      <c r="E46" s="195">
        <v>45249</v>
      </c>
      <c r="F46" s="195">
        <v>110488</v>
      </c>
      <c r="G46" s="195">
        <v>524760</v>
      </c>
      <c r="H46" s="195">
        <v>764622</v>
      </c>
      <c r="I46" s="195">
        <v>0</v>
      </c>
      <c r="J46" s="195">
        <v>0</v>
      </c>
      <c r="K46" s="195">
        <v>415688</v>
      </c>
      <c r="L46" s="195">
        <v>0</v>
      </c>
      <c r="M46" s="195">
        <f t="shared" si="0"/>
        <v>3109646</v>
      </c>
      <c r="N46" s="195">
        <v>3310864</v>
      </c>
      <c r="O46" s="195">
        <v>0</v>
      </c>
      <c r="P46" s="195">
        <v>173700</v>
      </c>
      <c r="Q46" s="194">
        <f t="shared" si="1"/>
        <v>89.2</v>
      </c>
      <c r="R46" s="194">
        <f t="shared" si="2"/>
        <v>93.9</v>
      </c>
    </row>
    <row r="47" spans="1:18" ht="14.25">
      <c r="A47" s="100">
        <v>43</v>
      </c>
      <c r="B47" s="100" t="s">
        <v>46</v>
      </c>
      <c r="C47" s="195">
        <v>626353</v>
      </c>
      <c r="D47" s="195">
        <v>171769</v>
      </c>
      <c r="E47" s="195">
        <v>6609</v>
      </c>
      <c r="F47" s="195">
        <v>78564</v>
      </c>
      <c r="G47" s="195">
        <v>254173</v>
      </c>
      <c r="H47" s="195">
        <v>402224</v>
      </c>
      <c r="I47" s="195">
        <v>0</v>
      </c>
      <c r="J47" s="195">
        <v>0</v>
      </c>
      <c r="K47" s="195">
        <v>105969</v>
      </c>
      <c r="L47" s="195">
        <v>0</v>
      </c>
      <c r="M47" s="195">
        <f t="shared" si="0"/>
        <v>1645661</v>
      </c>
      <c r="N47" s="195">
        <v>1795841</v>
      </c>
      <c r="O47" s="195">
        <v>0</v>
      </c>
      <c r="P47" s="195">
        <v>109600</v>
      </c>
      <c r="Q47" s="194">
        <f t="shared" si="1"/>
        <v>86.4</v>
      </c>
      <c r="R47" s="194">
        <f t="shared" si="2"/>
        <v>91.6</v>
      </c>
    </row>
    <row r="48" spans="1:18" ht="14.25">
      <c r="A48" s="100">
        <v>44</v>
      </c>
      <c r="B48" s="100" t="s">
        <v>47</v>
      </c>
      <c r="C48" s="195">
        <v>1260918</v>
      </c>
      <c r="D48" s="195">
        <v>389620</v>
      </c>
      <c r="E48" s="195">
        <v>19361</v>
      </c>
      <c r="F48" s="195">
        <v>176200</v>
      </c>
      <c r="G48" s="195">
        <v>1052303</v>
      </c>
      <c r="H48" s="195">
        <v>866933</v>
      </c>
      <c r="I48" s="195">
        <v>0</v>
      </c>
      <c r="J48" s="195">
        <v>0</v>
      </c>
      <c r="K48" s="195">
        <v>320495</v>
      </c>
      <c r="L48" s="195">
        <v>0</v>
      </c>
      <c r="M48" s="195">
        <f t="shared" si="0"/>
        <v>4085830</v>
      </c>
      <c r="N48" s="195">
        <v>4358251</v>
      </c>
      <c r="O48" s="195">
        <v>0</v>
      </c>
      <c r="P48" s="195">
        <v>211373</v>
      </c>
      <c r="Q48" s="194">
        <f t="shared" si="1"/>
        <v>89.4</v>
      </c>
      <c r="R48" s="194">
        <f t="shared" si="2"/>
        <v>93.7</v>
      </c>
    </row>
    <row r="49" spans="1:18" ht="14.25">
      <c r="A49" s="100">
        <v>45</v>
      </c>
      <c r="B49" s="100" t="s">
        <v>48</v>
      </c>
      <c r="C49" s="195">
        <v>613460</v>
      </c>
      <c r="D49" s="195">
        <v>236463</v>
      </c>
      <c r="E49" s="195">
        <v>28466</v>
      </c>
      <c r="F49" s="195">
        <v>76322</v>
      </c>
      <c r="G49" s="195">
        <v>386654</v>
      </c>
      <c r="H49" s="195">
        <v>540271</v>
      </c>
      <c r="I49" s="195">
        <v>0</v>
      </c>
      <c r="J49" s="195">
        <v>0</v>
      </c>
      <c r="K49" s="195">
        <v>233910</v>
      </c>
      <c r="L49" s="195">
        <v>0</v>
      </c>
      <c r="M49" s="195">
        <f t="shared" si="0"/>
        <v>2115546</v>
      </c>
      <c r="N49" s="195">
        <v>2245156</v>
      </c>
      <c r="O49" s="195">
        <v>0</v>
      </c>
      <c r="P49" s="195">
        <v>134100</v>
      </c>
      <c r="Q49" s="194">
        <f t="shared" si="1"/>
        <v>88.9</v>
      </c>
      <c r="R49" s="194">
        <f t="shared" si="2"/>
        <v>94.2</v>
      </c>
    </row>
    <row r="50" spans="1:18" ht="14.25">
      <c r="A50" s="100">
        <v>46</v>
      </c>
      <c r="B50" s="100" t="s">
        <v>49</v>
      </c>
      <c r="C50" s="195">
        <v>675862</v>
      </c>
      <c r="D50" s="195">
        <v>275768</v>
      </c>
      <c r="E50" s="195">
        <v>42193</v>
      </c>
      <c r="F50" s="195">
        <v>70499</v>
      </c>
      <c r="G50" s="195">
        <v>355654</v>
      </c>
      <c r="H50" s="195">
        <v>538214</v>
      </c>
      <c r="I50" s="195">
        <v>0</v>
      </c>
      <c r="J50" s="195">
        <v>3225</v>
      </c>
      <c r="K50" s="195">
        <v>322123</v>
      </c>
      <c r="L50" s="195">
        <v>0</v>
      </c>
      <c r="M50" s="195">
        <f t="shared" si="0"/>
        <v>2283538</v>
      </c>
      <c r="N50" s="195">
        <v>2462852</v>
      </c>
      <c r="O50" s="195">
        <v>0</v>
      </c>
      <c r="P50" s="195">
        <v>141778</v>
      </c>
      <c r="Q50" s="194">
        <f t="shared" si="1"/>
        <v>87.7</v>
      </c>
      <c r="R50" s="194">
        <f t="shared" si="2"/>
        <v>92.7</v>
      </c>
    </row>
    <row r="51" spans="1:18" ht="14.25">
      <c r="A51" s="100">
        <v>47</v>
      </c>
      <c r="B51" s="100" t="s">
        <v>50</v>
      </c>
      <c r="C51" s="195">
        <v>557556</v>
      </c>
      <c r="D51" s="195">
        <v>236224</v>
      </c>
      <c r="E51" s="195">
        <v>15248</v>
      </c>
      <c r="F51" s="195">
        <v>85424</v>
      </c>
      <c r="G51" s="195">
        <v>375163</v>
      </c>
      <c r="H51" s="195">
        <v>465590</v>
      </c>
      <c r="I51" s="195">
        <v>0</v>
      </c>
      <c r="J51" s="195">
        <v>0</v>
      </c>
      <c r="K51" s="195">
        <v>151444</v>
      </c>
      <c r="L51" s="195">
        <v>0</v>
      </c>
      <c r="M51" s="195">
        <f t="shared" si="0"/>
        <v>1886649</v>
      </c>
      <c r="N51" s="195">
        <v>2003263</v>
      </c>
      <c r="O51" s="195">
        <v>0</v>
      </c>
      <c r="P51" s="195">
        <v>130000</v>
      </c>
      <c r="Q51" s="194">
        <f t="shared" si="1"/>
        <v>88.4</v>
      </c>
      <c r="R51" s="194">
        <f t="shared" si="2"/>
        <v>94.2</v>
      </c>
    </row>
    <row r="52" spans="1:18" ht="14.25">
      <c r="A52" s="100">
        <v>48</v>
      </c>
      <c r="B52" s="100" t="s">
        <v>51</v>
      </c>
      <c r="C52" s="195">
        <v>647647</v>
      </c>
      <c r="D52" s="195">
        <v>298364</v>
      </c>
      <c r="E52" s="195">
        <v>19354</v>
      </c>
      <c r="F52" s="195">
        <v>56192</v>
      </c>
      <c r="G52" s="195">
        <v>331680</v>
      </c>
      <c r="H52" s="195">
        <v>498070</v>
      </c>
      <c r="I52" s="195">
        <v>0</v>
      </c>
      <c r="J52" s="195">
        <v>0</v>
      </c>
      <c r="K52" s="195">
        <v>245003</v>
      </c>
      <c r="L52" s="195">
        <v>0</v>
      </c>
      <c r="M52" s="195">
        <f t="shared" si="0"/>
        <v>2096310</v>
      </c>
      <c r="N52" s="195">
        <v>2348981</v>
      </c>
      <c r="O52" s="195">
        <v>0</v>
      </c>
      <c r="P52" s="195">
        <v>137193</v>
      </c>
      <c r="Q52" s="194">
        <f t="shared" si="1"/>
        <v>84.3</v>
      </c>
      <c r="R52" s="194">
        <f t="shared" si="2"/>
        <v>89.2</v>
      </c>
    </row>
    <row r="53" spans="1:18" ht="14.25">
      <c r="A53" s="100">
        <v>49</v>
      </c>
      <c r="B53" s="100" t="s">
        <v>52</v>
      </c>
      <c r="C53" s="195">
        <v>1133383</v>
      </c>
      <c r="D53" s="195">
        <v>568301</v>
      </c>
      <c r="E53" s="195">
        <v>87912</v>
      </c>
      <c r="F53" s="195">
        <v>149979</v>
      </c>
      <c r="G53" s="195">
        <v>493406</v>
      </c>
      <c r="H53" s="195">
        <v>1120373</v>
      </c>
      <c r="I53" s="195">
        <v>0</v>
      </c>
      <c r="J53" s="195">
        <v>0</v>
      </c>
      <c r="K53" s="195">
        <v>367392</v>
      </c>
      <c r="L53" s="195">
        <v>0</v>
      </c>
      <c r="M53" s="195">
        <f t="shared" si="0"/>
        <v>3920746</v>
      </c>
      <c r="N53" s="195">
        <v>4162469</v>
      </c>
      <c r="O53" s="195">
        <v>0</v>
      </c>
      <c r="P53" s="195">
        <v>213000</v>
      </c>
      <c r="Q53" s="194">
        <f t="shared" si="1"/>
        <v>89.6</v>
      </c>
      <c r="R53" s="194">
        <f t="shared" si="2"/>
        <v>94.2</v>
      </c>
    </row>
    <row r="54" spans="1:18" ht="14.25">
      <c r="A54" s="100">
        <v>50</v>
      </c>
      <c r="B54" s="100" t="s">
        <v>53</v>
      </c>
      <c r="C54" s="195">
        <v>953846</v>
      </c>
      <c r="D54" s="195">
        <v>277278</v>
      </c>
      <c r="E54" s="195">
        <v>11555</v>
      </c>
      <c r="F54" s="195">
        <v>88271</v>
      </c>
      <c r="G54" s="195">
        <v>360718</v>
      </c>
      <c r="H54" s="195">
        <v>652056</v>
      </c>
      <c r="I54" s="195">
        <v>0</v>
      </c>
      <c r="J54" s="195">
        <v>0</v>
      </c>
      <c r="K54" s="195">
        <v>334669</v>
      </c>
      <c r="L54" s="195">
        <v>0</v>
      </c>
      <c r="M54" s="195">
        <f t="shared" si="0"/>
        <v>2678393</v>
      </c>
      <c r="N54" s="195">
        <v>2989066</v>
      </c>
      <c r="O54" s="195">
        <v>0</v>
      </c>
      <c r="P54" s="195">
        <v>175038</v>
      </c>
      <c r="Q54" s="194">
        <f t="shared" si="1"/>
        <v>84.6</v>
      </c>
      <c r="R54" s="194">
        <f t="shared" si="2"/>
        <v>89.6</v>
      </c>
    </row>
    <row r="55" spans="1:18" ht="14.25">
      <c r="A55" s="100">
        <v>51</v>
      </c>
      <c r="B55" s="100" t="s">
        <v>54</v>
      </c>
      <c r="C55" s="195">
        <v>651625</v>
      </c>
      <c r="D55" s="195">
        <v>402643</v>
      </c>
      <c r="E55" s="195">
        <v>45835</v>
      </c>
      <c r="F55" s="195">
        <v>66392</v>
      </c>
      <c r="G55" s="195">
        <v>328054</v>
      </c>
      <c r="H55" s="195">
        <v>298126</v>
      </c>
      <c r="I55" s="195">
        <v>0</v>
      </c>
      <c r="J55" s="195">
        <v>0</v>
      </c>
      <c r="K55" s="195">
        <v>311857</v>
      </c>
      <c r="L55" s="195">
        <v>0</v>
      </c>
      <c r="M55" s="195">
        <f t="shared" si="0"/>
        <v>2104532</v>
      </c>
      <c r="N55" s="195">
        <v>2591066</v>
      </c>
      <c r="O55" s="195">
        <v>0</v>
      </c>
      <c r="P55" s="195">
        <v>101100</v>
      </c>
      <c r="Q55" s="194">
        <f t="shared" si="1"/>
        <v>78.2</v>
      </c>
      <c r="R55" s="194">
        <f t="shared" si="2"/>
        <v>81.2</v>
      </c>
    </row>
    <row r="56" spans="1:18" ht="14.25">
      <c r="A56" s="100">
        <v>52</v>
      </c>
      <c r="B56" s="100" t="s">
        <v>55</v>
      </c>
      <c r="C56" s="195">
        <v>1005483</v>
      </c>
      <c r="D56" s="195">
        <v>389952</v>
      </c>
      <c r="E56" s="195">
        <v>70120</v>
      </c>
      <c r="F56" s="195">
        <v>99569</v>
      </c>
      <c r="G56" s="195">
        <v>388323</v>
      </c>
      <c r="H56" s="195">
        <v>304264</v>
      </c>
      <c r="I56" s="195">
        <v>0</v>
      </c>
      <c r="J56" s="195">
        <v>0</v>
      </c>
      <c r="K56" s="195">
        <v>355078</v>
      </c>
      <c r="L56" s="195">
        <v>0</v>
      </c>
      <c r="M56" s="195">
        <f t="shared" si="0"/>
        <v>2612789</v>
      </c>
      <c r="N56" s="195">
        <v>3032493</v>
      </c>
      <c r="O56" s="195">
        <v>0</v>
      </c>
      <c r="P56" s="195">
        <v>100000</v>
      </c>
      <c r="Q56" s="194">
        <f t="shared" si="1"/>
        <v>83.4</v>
      </c>
      <c r="R56" s="194">
        <f t="shared" si="2"/>
        <v>86.2</v>
      </c>
    </row>
    <row r="57" spans="1:18" ht="14.25">
      <c r="A57" s="100">
        <v>53</v>
      </c>
      <c r="B57" s="100" t="s">
        <v>56</v>
      </c>
      <c r="C57" s="195">
        <v>1091032</v>
      </c>
      <c r="D57" s="195">
        <v>582955</v>
      </c>
      <c r="E57" s="195">
        <v>52598</v>
      </c>
      <c r="F57" s="195">
        <v>160556</v>
      </c>
      <c r="G57" s="195">
        <v>587449</v>
      </c>
      <c r="H57" s="195">
        <v>672536</v>
      </c>
      <c r="I57" s="195">
        <v>0</v>
      </c>
      <c r="J57" s="195">
        <v>0</v>
      </c>
      <c r="K57" s="195">
        <v>657405</v>
      </c>
      <c r="L57" s="195">
        <v>0</v>
      </c>
      <c r="M57" s="195">
        <f t="shared" si="0"/>
        <v>3804531</v>
      </c>
      <c r="N57" s="195">
        <v>3913024</v>
      </c>
      <c r="O57" s="195">
        <v>0</v>
      </c>
      <c r="P57" s="195">
        <v>0</v>
      </c>
      <c r="Q57" s="194">
        <f t="shared" si="1"/>
        <v>97.2</v>
      </c>
      <c r="R57" s="194">
        <f t="shared" si="2"/>
        <v>97.2</v>
      </c>
    </row>
    <row r="58" spans="1:18" ht="14.25">
      <c r="A58" s="100">
        <v>54</v>
      </c>
      <c r="B58" s="100" t="s">
        <v>57</v>
      </c>
      <c r="C58" s="195">
        <v>548225</v>
      </c>
      <c r="D58" s="195">
        <v>200553</v>
      </c>
      <c r="E58" s="195">
        <v>16789</v>
      </c>
      <c r="F58" s="195">
        <v>35124</v>
      </c>
      <c r="G58" s="195">
        <v>231627</v>
      </c>
      <c r="H58" s="195">
        <v>345557</v>
      </c>
      <c r="I58" s="195">
        <v>0</v>
      </c>
      <c r="J58" s="195">
        <v>967</v>
      </c>
      <c r="K58" s="195">
        <v>200704</v>
      </c>
      <c r="L58" s="195">
        <v>0</v>
      </c>
      <c r="M58" s="195">
        <f t="shared" si="0"/>
        <v>1579546</v>
      </c>
      <c r="N58" s="195">
        <v>1641114</v>
      </c>
      <c r="O58" s="195">
        <v>0</v>
      </c>
      <c r="P58" s="195">
        <v>96300</v>
      </c>
      <c r="Q58" s="194">
        <f t="shared" si="1"/>
        <v>90.9</v>
      </c>
      <c r="R58" s="194">
        <f t="shared" si="2"/>
        <v>96.2</v>
      </c>
    </row>
    <row r="59" spans="1:18" ht="14.25">
      <c r="A59" s="100">
        <v>55</v>
      </c>
      <c r="B59" s="100" t="s">
        <v>58</v>
      </c>
      <c r="C59" s="195">
        <v>969613</v>
      </c>
      <c r="D59" s="195">
        <v>629772</v>
      </c>
      <c r="E59" s="195">
        <v>130886</v>
      </c>
      <c r="F59" s="195">
        <v>106296</v>
      </c>
      <c r="G59" s="195">
        <v>484789</v>
      </c>
      <c r="H59" s="195">
        <v>121429</v>
      </c>
      <c r="I59" s="195">
        <v>0</v>
      </c>
      <c r="J59" s="195">
        <v>0</v>
      </c>
      <c r="K59" s="195">
        <v>325203</v>
      </c>
      <c r="L59" s="195">
        <v>0</v>
      </c>
      <c r="M59" s="195">
        <f t="shared" si="0"/>
        <v>2767988</v>
      </c>
      <c r="N59" s="195">
        <v>4320557</v>
      </c>
      <c r="O59" s="195">
        <v>0</v>
      </c>
      <c r="P59" s="195">
        <v>0</v>
      </c>
      <c r="Q59" s="194">
        <f t="shared" si="1"/>
        <v>64.1</v>
      </c>
      <c r="R59" s="194">
        <f t="shared" si="2"/>
        <v>64.1</v>
      </c>
    </row>
    <row r="60" spans="1:18" ht="14.25">
      <c r="A60" s="100">
        <v>56</v>
      </c>
      <c r="B60" s="100" t="s">
        <v>59</v>
      </c>
      <c r="C60" s="195">
        <v>855847</v>
      </c>
      <c r="D60" s="195">
        <v>283435</v>
      </c>
      <c r="E60" s="195">
        <v>29135</v>
      </c>
      <c r="F60" s="195">
        <v>80671</v>
      </c>
      <c r="G60" s="195">
        <v>312149</v>
      </c>
      <c r="H60" s="195">
        <v>596713</v>
      </c>
      <c r="I60" s="195">
        <v>0</v>
      </c>
      <c r="J60" s="195">
        <v>0</v>
      </c>
      <c r="K60" s="195">
        <v>276631</v>
      </c>
      <c r="L60" s="195">
        <v>0</v>
      </c>
      <c r="M60" s="195">
        <f t="shared" si="0"/>
        <v>2434581</v>
      </c>
      <c r="N60" s="195">
        <v>2315042</v>
      </c>
      <c r="O60" s="195">
        <v>0</v>
      </c>
      <c r="P60" s="195">
        <v>128200</v>
      </c>
      <c r="Q60" s="194">
        <f t="shared" si="1"/>
        <v>99.6</v>
      </c>
      <c r="R60" s="194">
        <f t="shared" si="2"/>
        <v>105.2</v>
      </c>
    </row>
    <row r="61" spans="1:18" ht="14.25">
      <c r="A61" s="100">
        <v>57</v>
      </c>
      <c r="B61" s="100" t="s">
        <v>60</v>
      </c>
      <c r="C61" s="195">
        <v>1355411</v>
      </c>
      <c r="D61" s="195">
        <v>544822</v>
      </c>
      <c r="E61" s="195">
        <v>26745</v>
      </c>
      <c r="F61" s="195">
        <v>219689</v>
      </c>
      <c r="G61" s="195">
        <v>690156</v>
      </c>
      <c r="H61" s="195">
        <v>809104</v>
      </c>
      <c r="I61" s="195">
        <v>0</v>
      </c>
      <c r="J61" s="195">
        <v>0</v>
      </c>
      <c r="K61" s="195">
        <v>634830</v>
      </c>
      <c r="L61" s="195">
        <v>0</v>
      </c>
      <c r="M61" s="195">
        <f t="shared" si="0"/>
        <v>4280757</v>
      </c>
      <c r="N61" s="195">
        <v>4712187</v>
      </c>
      <c r="O61" s="195">
        <v>0</v>
      </c>
      <c r="P61" s="195">
        <v>237937</v>
      </c>
      <c r="Q61" s="194">
        <f t="shared" si="1"/>
        <v>86.5</v>
      </c>
      <c r="R61" s="194">
        <f t="shared" si="2"/>
        <v>90.8</v>
      </c>
    </row>
    <row r="62" spans="1:18" ht="14.25">
      <c r="A62" s="100">
        <v>58</v>
      </c>
      <c r="B62" s="100" t="s">
        <v>61</v>
      </c>
      <c r="C62" s="195">
        <v>263418</v>
      </c>
      <c r="D62" s="195">
        <v>123460</v>
      </c>
      <c r="E62" s="195">
        <v>10327</v>
      </c>
      <c r="F62" s="195">
        <v>10441</v>
      </c>
      <c r="G62" s="195">
        <v>120764</v>
      </c>
      <c r="H62" s="195">
        <v>345477</v>
      </c>
      <c r="I62" s="195">
        <v>0</v>
      </c>
      <c r="J62" s="195">
        <v>0</v>
      </c>
      <c r="K62" s="195">
        <v>70582</v>
      </c>
      <c r="L62" s="195">
        <v>0</v>
      </c>
      <c r="M62" s="195">
        <f t="shared" si="0"/>
        <v>944469</v>
      </c>
      <c r="N62" s="195">
        <v>965041</v>
      </c>
      <c r="O62" s="195">
        <v>0</v>
      </c>
      <c r="P62" s="195">
        <v>56500</v>
      </c>
      <c r="Q62" s="194">
        <f t="shared" si="1"/>
        <v>92.5</v>
      </c>
      <c r="R62" s="194">
        <f t="shared" si="2"/>
        <v>97.9</v>
      </c>
    </row>
    <row r="63" spans="1:18" ht="14.25">
      <c r="A63" s="100">
        <v>59</v>
      </c>
      <c r="B63" s="100" t="s">
        <v>62</v>
      </c>
      <c r="C63" s="195">
        <v>1021945</v>
      </c>
      <c r="D63" s="195">
        <v>325633</v>
      </c>
      <c r="E63" s="195">
        <v>13693</v>
      </c>
      <c r="F63" s="195">
        <v>107787</v>
      </c>
      <c r="G63" s="195">
        <v>378519</v>
      </c>
      <c r="H63" s="195">
        <v>411273</v>
      </c>
      <c r="I63" s="195">
        <v>0</v>
      </c>
      <c r="J63" s="195">
        <v>0</v>
      </c>
      <c r="K63" s="195">
        <v>34599</v>
      </c>
      <c r="L63" s="195">
        <v>0</v>
      </c>
      <c r="M63" s="195">
        <f t="shared" si="0"/>
        <v>2293449</v>
      </c>
      <c r="N63" s="195">
        <v>2815409</v>
      </c>
      <c r="O63" s="195">
        <v>0</v>
      </c>
      <c r="P63" s="195">
        <v>142500</v>
      </c>
      <c r="Q63" s="194">
        <f t="shared" si="1"/>
        <v>77.5</v>
      </c>
      <c r="R63" s="194">
        <f t="shared" si="2"/>
        <v>81.5</v>
      </c>
    </row>
    <row r="64" spans="1:18" ht="14.25">
      <c r="A64" s="100">
        <v>60</v>
      </c>
      <c r="B64" s="100" t="s">
        <v>63</v>
      </c>
      <c r="C64" s="195">
        <v>731556</v>
      </c>
      <c r="D64" s="195">
        <v>394786</v>
      </c>
      <c r="E64" s="195">
        <v>59989</v>
      </c>
      <c r="F64" s="195">
        <v>71601</v>
      </c>
      <c r="G64" s="195">
        <v>271065</v>
      </c>
      <c r="H64" s="195">
        <v>581560</v>
      </c>
      <c r="I64" s="195">
        <v>0</v>
      </c>
      <c r="J64" s="195">
        <v>0</v>
      </c>
      <c r="K64" s="195">
        <v>275733</v>
      </c>
      <c r="L64" s="195">
        <v>0</v>
      </c>
      <c r="M64" s="195">
        <f t="shared" si="0"/>
        <v>2386290</v>
      </c>
      <c r="N64" s="195">
        <v>2578701</v>
      </c>
      <c r="O64" s="195">
        <v>0</v>
      </c>
      <c r="P64" s="195">
        <v>146000</v>
      </c>
      <c r="Q64" s="194">
        <f t="shared" si="1"/>
        <v>87.6</v>
      </c>
      <c r="R64" s="194">
        <f t="shared" si="2"/>
        <v>92.5</v>
      </c>
    </row>
    <row r="65" spans="2:18" ht="14.25">
      <c r="B65" s="100" t="s">
        <v>162</v>
      </c>
      <c r="C65" s="195">
        <f>SUM(C5:C17)</f>
        <v>93187112</v>
      </c>
      <c r="D65" s="195">
        <f aca="true" t="shared" si="3" ref="D65:P65">SUM(D5:D17)</f>
        <v>48484104</v>
      </c>
      <c r="E65" s="195">
        <f t="shared" si="3"/>
        <v>7397563</v>
      </c>
      <c r="F65" s="195">
        <f t="shared" si="3"/>
        <v>26912889</v>
      </c>
      <c r="G65" s="195">
        <f t="shared" si="3"/>
        <v>30947451</v>
      </c>
      <c r="H65" s="195">
        <f t="shared" si="3"/>
        <v>70917379</v>
      </c>
      <c r="I65" s="195">
        <f t="shared" si="3"/>
        <v>0</v>
      </c>
      <c r="J65" s="195">
        <f t="shared" si="3"/>
        <v>141972</v>
      </c>
      <c r="K65" s="195">
        <f t="shared" si="3"/>
        <v>40767413</v>
      </c>
      <c r="L65" s="195">
        <f>SUM(L5:L17)</f>
        <v>0</v>
      </c>
      <c r="M65" s="195">
        <f t="shared" si="3"/>
        <v>318755883</v>
      </c>
      <c r="N65" s="195">
        <f t="shared" si="3"/>
        <v>338186793</v>
      </c>
      <c r="O65" s="195">
        <f t="shared" si="3"/>
        <v>0</v>
      </c>
      <c r="P65" s="195">
        <f t="shared" si="3"/>
        <v>14397466</v>
      </c>
      <c r="Q65" s="194">
        <f>ROUND(SUM(Q5:Q17)/13,1)</f>
        <v>90.6</v>
      </c>
      <c r="R65" s="194">
        <f>ROUND(SUM(R5:R17)/13,1)</f>
        <v>94.8</v>
      </c>
    </row>
    <row r="66" spans="2:18" ht="14.25">
      <c r="B66" s="100" t="s">
        <v>163</v>
      </c>
      <c r="C66" s="195">
        <f>SUM(C18:C64)</f>
        <v>40373883</v>
      </c>
      <c r="D66" s="195">
        <f aca="true" t="shared" si="4" ref="D66:P66">SUM(D18:D64)</f>
        <v>16765584</v>
      </c>
      <c r="E66" s="195">
        <f t="shared" si="4"/>
        <v>2344902</v>
      </c>
      <c r="F66" s="195">
        <f t="shared" si="4"/>
        <v>4345641</v>
      </c>
      <c r="G66" s="195">
        <f t="shared" si="4"/>
        <v>19219240</v>
      </c>
      <c r="H66" s="195">
        <f t="shared" si="4"/>
        <v>28690989</v>
      </c>
      <c r="I66" s="195">
        <f t="shared" si="4"/>
        <v>0</v>
      </c>
      <c r="J66" s="195">
        <f t="shared" si="4"/>
        <v>54792</v>
      </c>
      <c r="K66" s="195">
        <f t="shared" si="4"/>
        <v>15002626</v>
      </c>
      <c r="L66" s="195">
        <f>SUM(L18:L64)</f>
        <v>0</v>
      </c>
      <c r="M66" s="195">
        <f t="shared" si="4"/>
        <v>126797657</v>
      </c>
      <c r="N66" s="195">
        <f t="shared" si="4"/>
        <v>140775816</v>
      </c>
      <c r="O66" s="195">
        <f t="shared" si="4"/>
        <v>6400</v>
      </c>
      <c r="P66" s="195">
        <f t="shared" si="4"/>
        <v>7041781</v>
      </c>
      <c r="Q66" s="194">
        <f>ROUND(SUM(Q18:Q64)/47,1)</f>
        <v>86.3</v>
      </c>
      <c r="R66" s="194">
        <f>ROUND(SUM(R18:R64)/47,1)</f>
        <v>90.9</v>
      </c>
    </row>
    <row r="67" spans="2:18" ht="14.25">
      <c r="B67" s="100" t="s">
        <v>164</v>
      </c>
      <c r="C67" s="195">
        <f>SUM(C65:C66)</f>
        <v>133560995</v>
      </c>
      <c r="D67" s="195">
        <f aca="true" t="shared" si="5" ref="D67:P67">SUM(D65:D66)</f>
        <v>65249688</v>
      </c>
      <c r="E67" s="195">
        <f t="shared" si="5"/>
        <v>9742465</v>
      </c>
      <c r="F67" s="195">
        <f t="shared" si="5"/>
        <v>31258530</v>
      </c>
      <c r="G67" s="195">
        <f t="shared" si="5"/>
        <v>50166691</v>
      </c>
      <c r="H67" s="195">
        <f t="shared" si="5"/>
        <v>99608368</v>
      </c>
      <c r="I67" s="195">
        <f t="shared" si="5"/>
        <v>0</v>
      </c>
      <c r="J67" s="195">
        <f t="shared" si="5"/>
        <v>196764</v>
      </c>
      <c r="K67" s="195">
        <f t="shared" si="5"/>
        <v>55770039</v>
      </c>
      <c r="L67" s="195">
        <f>SUM(L65:L66)</f>
        <v>0</v>
      </c>
      <c r="M67" s="195">
        <f t="shared" si="5"/>
        <v>445553540</v>
      </c>
      <c r="N67" s="195">
        <f t="shared" si="5"/>
        <v>478962609</v>
      </c>
      <c r="O67" s="195">
        <f t="shared" si="5"/>
        <v>6400</v>
      </c>
      <c r="P67" s="195">
        <f t="shared" si="5"/>
        <v>21439247</v>
      </c>
      <c r="Q67" s="194">
        <f>ROUND(SUM(Q5:Q64)/60,1)</f>
        <v>87.3</v>
      </c>
      <c r="R67" s="194">
        <f>ROUND(SUM(R5:R64)/60,1)</f>
        <v>91.8</v>
      </c>
    </row>
    <row r="68" spans="17:18" ht="14.25">
      <c r="Q68" s="194"/>
      <c r="R68" s="194"/>
    </row>
    <row r="69" spans="17:18" ht="14.25">
      <c r="Q69" s="198" t="s">
        <v>126</v>
      </c>
      <c r="R69" s="198" t="s">
        <v>127</v>
      </c>
    </row>
    <row r="71" spans="17:18" ht="14.25">
      <c r="Q71" s="195"/>
      <c r="R71" s="195"/>
    </row>
  </sheetData>
  <mergeCells count="3">
    <mergeCell ref="M1:M4"/>
    <mergeCell ref="Q1:Q4"/>
    <mergeCell ref="R1:R4"/>
  </mergeCells>
  <printOptions/>
  <pageMargins left="0.7874015748031497" right="0.7874015748031497" top="0.984251968503937" bottom="0.984251968503937" header="0.5118110236220472" footer="0.5118110236220472"/>
  <pageSetup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codeName="Sheet5"/>
  <dimension ref="A1:G70"/>
  <sheetViews>
    <sheetView zoomScale="75" zoomScaleNormal="75" workbookViewId="0" topLeftCell="A1">
      <pane xSplit="2" ySplit="5" topLeftCell="C48"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9.09765625" style="101" bestFit="1" customWidth="1"/>
    <col min="2" max="2" width="9" style="101" customWidth="1"/>
    <col min="3" max="3" width="12.69921875" style="101" customWidth="1"/>
    <col min="4" max="8" width="11.8984375" style="101" customWidth="1"/>
    <col min="9" max="16384" width="9" style="101" customWidth="1"/>
  </cols>
  <sheetData>
    <row r="1" spans="2:7" ht="14.25">
      <c r="B1" s="202" t="s">
        <v>300</v>
      </c>
      <c r="C1" s="202"/>
      <c r="D1" s="202"/>
      <c r="E1" s="202"/>
      <c r="F1" s="202"/>
      <c r="G1" s="202"/>
    </row>
    <row r="2" spans="3:7" s="103" customFormat="1" ht="19.5" customHeight="1">
      <c r="C2" s="266" t="s">
        <v>121</v>
      </c>
      <c r="D2" s="266" t="s">
        <v>122</v>
      </c>
      <c r="E2" s="266" t="s">
        <v>123</v>
      </c>
      <c r="F2" s="266" t="s">
        <v>248</v>
      </c>
      <c r="G2" s="266" t="s">
        <v>248</v>
      </c>
    </row>
    <row r="3" spans="5:7" ht="14.25">
      <c r="E3" s="99" t="s">
        <v>125</v>
      </c>
      <c r="F3" s="99" t="s">
        <v>125</v>
      </c>
      <c r="G3" s="99" t="s">
        <v>124</v>
      </c>
    </row>
    <row r="4" spans="6:7" ht="14.25">
      <c r="F4" s="267"/>
      <c r="G4" s="267"/>
    </row>
    <row r="6" spans="1:7" ht="14.25">
      <c r="A6" s="101">
        <v>1</v>
      </c>
      <c r="B6" s="101" t="s">
        <v>0</v>
      </c>
      <c r="C6" s="102">
        <v>14.8</v>
      </c>
      <c r="D6" s="102">
        <v>16.7</v>
      </c>
      <c r="E6" s="102">
        <v>10.6</v>
      </c>
      <c r="F6" s="102">
        <v>7.6557331178095716</v>
      </c>
      <c r="G6" s="102">
        <v>7.6</v>
      </c>
    </row>
    <row r="7" spans="1:7" ht="14.25">
      <c r="A7" s="101">
        <v>2</v>
      </c>
      <c r="B7" s="101" t="s">
        <v>1</v>
      </c>
      <c r="C7" s="102">
        <v>18.5</v>
      </c>
      <c r="D7" s="102">
        <v>20.1</v>
      </c>
      <c r="E7" s="102">
        <v>14.6</v>
      </c>
      <c r="F7" s="102">
        <v>18.97995501613778</v>
      </c>
      <c r="G7" s="102">
        <v>19.1</v>
      </c>
    </row>
    <row r="8" spans="1:7" ht="14.25">
      <c r="A8" s="101">
        <v>3</v>
      </c>
      <c r="B8" s="101" t="s">
        <v>2</v>
      </c>
      <c r="C8" s="102">
        <v>14.6</v>
      </c>
      <c r="D8" s="102">
        <v>15.9</v>
      </c>
      <c r="E8" s="102">
        <v>10.5</v>
      </c>
      <c r="F8" s="102">
        <v>11.166380860732344</v>
      </c>
      <c r="G8" s="102">
        <v>11.6</v>
      </c>
    </row>
    <row r="9" spans="1:7" ht="14.25">
      <c r="A9" s="101">
        <v>4</v>
      </c>
      <c r="B9" s="101" t="s">
        <v>3</v>
      </c>
      <c r="C9" s="102">
        <v>17.5</v>
      </c>
      <c r="D9" s="102">
        <v>17.5</v>
      </c>
      <c r="E9" s="102">
        <v>12</v>
      </c>
      <c r="F9" s="102">
        <v>11.171034402782919</v>
      </c>
      <c r="G9" s="102">
        <v>10.6</v>
      </c>
    </row>
    <row r="10" spans="1:7" ht="14.25">
      <c r="A10" s="101">
        <v>5</v>
      </c>
      <c r="B10" s="101" t="s">
        <v>4</v>
      </c>
      <c r="C10" s="102">
        <v>18.1</v>
      </c>
      <c r="D10" s="102">
        <v>20.9</v>
      </c>
      <c r="E10" s="102">
        <v>14.3</v>
      </c>
      <c r="F10" s="102">
        <v>23.391822938223726</v>
      </c>
      <c r="G10" s="102">
        <v>23.6</v>
      </c>
    </row>
    <row r="11" spans="1:7" ht="14.25">
      <c r="A11" s="101">
        <v>6</v>
      </c>
      <c r="B11" s="101" t="s">
        <v>5</v>
      </c>
      <c r="C11" s="102">
        <v>12.5</v>
      </c>
      <c r="D11" s="102">
        <v>13.2</v>
      </c>
      <c r="E11" s="102">
        <v>9.3</v>
      </c>
      <c r="F11" s="102">
        <v>10.828972224306234</v>
      </c>
      <c r="G11" s="102">
        <v>10.8</v>
      </c>
    </row>
    <row r="12" spans="1:7" ht="14.25">
      <c r="A12" s="101">
        <v>7</v>
      </c>
      <c r="B12" s="101" t="s">
        <v>6</v>
      </c>
      <c r="C12" s="102">
        <v>13</v>
      </c>
      <c r="D12" s="102">
        <v>19.1</v>
      </c>
      <c r="E12" s="102">
        <v>10.7</v>
      </c>
      <c r="F12" s="102">
        <v>19.777499097690132</v>
      </c>
      <c r="G12" s="102">
        <v>20.9</v>
      </c>
    </row>
    <row r="13" spans="1:7" ht="14.25">
      <c r="A13" s="101">
        <v>8</v>
      </c>
      <c r="B13" s="101" t="s">
        <v>7</v>
      </c>
      <c r="C13" s="102">
        <v>18.8</v>
      </c>
      <c r="D13" s="102">
        <v>24.7</v>
      </c>
      <c r="E13" s="102">
        <v>11.1</v>
      </c>
      <c r="F13" s="102">
        <v>27.43594761352365</v>
      </c>
      <c r="G13" s="102">
        <v>22.5</v>
      </c>
    </row>
    <row r="14" spans="1:7" ht="14.25">
      <c r="A14" s="101">
        <v>9</v>
      </c>
      <c r="B14" s="101" t="s">
        <v>8</v>
      </c>
      <c r="C14" s="102">
        <v>13.6</v>
      </c>
      <c r="D14" s="102">
        <v>17</v>
      </c>
      <c r="E14" s="102">
        <v>10.8</v>
      </c>
      <c r="F14" s="102">
        <v>19.506812491024974</v>
      </c>
      <c r="G14" s="102">
        <v>18.9</v>
      </c>
    </row>
    <row r="15" spans="1:7" ht="14.25">
      <c r="A15" s="101">
        <v>10</v>
      </c>
      <c r="B15" s="101" t="s">
        <v>154</v>
      </c>
      <c r="C15" s="102">
        <v>14.9</v>
      </c>
      <c r="D15" s="102">
        <v>17.2</v>
      </c>
      <c r="E15" s="102">
        <v>11.8</v>
      </c>
      <c r="F15" s="102">
        <v>13.061013229316861</v>
      </c>
      <c r="G15" s="102">
        <v>13.4</v>
      </c>
    </row>
    <row r="16" spans="1:7" ht="14.25">
      <c r="A16" s="101">
        <v>11</v>
      </c>
      <c r="B16" s="101" t="s">
        <v>235</v>
      </c>
      <c r="C16" s="102">
        <v>15.2</v>
      </c>
      <c r="D16" s="102">
        <v>18.6</v>
      </c>
      <c r="E16" s="102">
        <v>9.5</v>
      </c>
      <c r="F16" s="102">
        <v>17.18946406954352</v>
      </c>
      <c r="G16" s="102">
        <v>16</v>
      </c>
    </row>
    <row r="17" spans="1:7" ht="14.25">
      <c r="A17" s="101">
        <v>12</v>
      </c>
      <c r="B17" s="101" t="s">
        <v>236</v>
      </c>
      <c r="C17" s="102">
        <v>15.9</v>
      </c>
      <c r="D17" s="102">
        <v>16.9</v>
      </c>
      <c r="E17" s="102">
        <v>11.9</v>
      </c>
      <c r="F17" s="102">
        <v>15.314345572006582</v>
      </c>
      <c r="G17" s="102">
        <v>15.9</v>
      </c>
    </row>
    <row r="18" spans="1:7" ht="14.25">
      <c r="A18" s="101">
        <v>13</v>
      </c>
      <c r="B18" s="101" t="s">
        <v>285</v>
      </c>
      <c r="C18" s="102">
        <v>10.1</v>
      </c>
      <c r="D18" s="102">
        <v>14.7</v>
      </c>
      <c r="E18" s="102">
        <v>9.9</v>
      </c>
      <c r="F18" s="102">
        <v>20.532652815128973</v>
      </c>
      <c r="G18" s="102">
        <v>21.5</v>
      </c>
    </row>
    <row r="19" spans="1:7" ht="14.25">
      <c r="A19" s="101">
        <v>14</v>
      </c>
      <c r="B19" s="101" t="s">
        <v>10</v>
      </c>
      <c r="C19" s="102">
        <v>10.8</v>
      </c>
      <c r="D19" s="102">
        <v>11.9</v>
      </c>
      <c r="E19" s="102">
        <v>8.5</v>
      </c>
      <c r="F19" s="102">
        <v>14.243402728571192</v>
      </c>
      <c r="G19" s="102">
        <v>13.1</v>
      </c>
    </row>
    <row r="20" spans="1:7" ht="14.25">
      <c r="A20" s="101">
        <v>15</v>
      </c>
      <c r="B20" s="101" t="s">
        <v>12</v>
      </c>
      <c r="C20" s="102">
        <v>14.5</v>
      </c>
      <c r="D20" s="102">
        <v>15</v>
      </c>
      <c r="E20" s="102">
        <v>9.2</v>
      </c>
      <c r="F20" s="102">
        <v>19.509313571523094</v>
      </c>
      <c r="G20" s="102">
        <v>17.5</v>
      </c>
    </row>
    <row r="21" spans="1:7" ht="14.25">
      <c r="A21" s="101">
        <v>16</v>
      </c>
      <c r="B21" s="101" t="s">
        <v>17</v>
      </c>
      <c r="C21" s="102">
        <v>11.6</v>
      </c>
      <c r="D21" s="102">
        <v>13.2</v>
      </c>
      <c r="E21" s="102">
        <v>10</v>
      </c>
      <c r="F21" s="102">
        <v>11.86026430736418</v>
      </c>
      <c r="G21" s="102">
        <v>13</v>
      </c>
    </row>
    <row r="22" spans="1:7" ht="14.25">
      <c r="A22" s="101">
        <v>17</v>
      </c>
      <c r="B22" s="101" t="s">
        <v>18</v>
      </c>
      <c r="C22" s="102">
        <v>17.2</v>
      </c>
      <c r="D22" s="102">
        <v>17.7</v>
      </c>
      <c r="E22" s="102">
        <v>10.8</v>
      </c>
      <c r="F22" s="102" t="s">
        <v>299</v>
      </c>
      <c r="G22" s="102" t="s">
        <v>299</v>
      </c>
    </row>
    <row r="23" spans="1:7" ht="14.25">
      <c r="A23" s="101">
        <v>18</v>
      </c>
      <c r="B23" s="101" t="s">
        <v>19</v>
      </c>
      <c r="C23" s="102">
        <v>12.3</v>
      </c>
      <c r="D23" s="102">
        <v>13.9</v>
      </c>
      <c r="E23" s="102">
        <v>9.3</v>
      </c>
      <c r="F23" s="102">
        <v>14.671495371212417</v>
      </c>
      <c r="G23" s="102">
        <v>15.6</v>
      </c>
    </row>
    <row r="24" spans="1:7" ht="14.25">
      <c r="A24" s="101">
        <v>19</v>
      </c>
      <c r="B24" s="101" t="s">
        <v>20</v>
      </c>
      <c r="C24" s="102">
        <v>20.7</v>
      </c>
      <c r="D24" s="102">
        <v>22.3</v>
      </c>
      <c r="E24" s="102">
        <v>15.3</v>
      </c>
      <c r="F24" s="102">
        <v>22.331907480308175</v>
      </c>
      <c r="G24" s="102">
        <v>21.8</v>
      </c>
    </row>
    <row r="25" spans="1:7" ht="14.25">
      <c r="A25" s="101">
        <v>20</v>
      </c>
      <c r="B25" s="101" t="s">
        <v>21</v>
      </c>
      <c r="C25" s="102">
        <v>8</v>
      </c>
      <c r="D25" s="102">
        <v>10.8</v>
      </c>
      <c r="E25" s="102">
        <v>3.2</v>
      </c>
      <c r="F25" s="102">
        <v>13.153624095980692</v>
      </c>
      <c r="G25" s="102">
        <v>13.5</v>
      </c>
    </row>
    <row r="26" spans="1:7" ht="14.25">
      <c r="A26" s="101">
        <v>21</v>
      </c>
      <c r="B26" s="101" t="s">
        <v>23</v>
      </c>
      <c r="C26" s="102">
        <v>12.8</v>
      </c>
      <c r="D26" s="102">
        <v>12.9</v>
      </c>
      <c r="E26" s="102">
        <v>9.6</v>
      </c>
      <c r="F26" s="102">
        <v>12.324113834335755</v>
      </c>
      <c r="G26" s="102">
        <v>12</v>
      </c>
    </row>
    <row r="27" spans="1:7" ht="14.25">
      <c r="A27" s="101">
        <v>22</v>
      </c>
      <c r="B27" s="101" t="s">
        <v>25</v>
      </c>
      <c r="C27" s="102">
        <v>15.7</v>
      </c>
      <c r="D27" s="102">
        <v>15.8</v>
      </c>
      <c r="E27" s="102">
        <v>8.6</v>
      </c>
      <c r="F27" s="102">
        <v>7.4982732224872715</v>
      </c>
      <c r="G27" s="102">
        <v>7.6</v>
      </c>
    </row>
    <row r="28" spans="1:7" ht="14.25">
      <c r="A28" s="101">
        <v>23</v>
      </c>
      <c r="B28" s="101" t="s">
        <v>28</v>
      </c>
      <c r="C28" s="102">
        <v>9</v>
      </c>
      <c r="D28" s="102">
        <v>9.2</v>
      </c>
      <c r="E28" s="102">
        <v>8.2</v>
      </c>
      <c r="F28" s="102">
        <v>11.962223781835872</v>
      </c>
      <c r="G28" s="102">
        <v>12.8</v>
      </c>
    </row>
    <row r="29" spans="1:7" ht="14.25">
      <c r="A29" s="101">
        <v>24</v>
      </c>
      <c r="B29" s="101" t="s">
        <v>237</v>
      </c>
      <c r="C29" s="102">
        <v>12.9</v>
      </c>
      <c r="D29" s="102">
        <v>13.3</v>
      </c>
      <c r="E29" s="102">
        <v>11</v>
      </c>
      <c r="F29" s="102">
        <v>17.708619905648547</v>
      </c>
      <c r="G29" s="102">
        <v>18.7</v>
      </c>
    </row>
    <row r="30" spans="1:7" ht="14.25">
      <c r="A30" s="101">
        <v>25</v>
      </c>
      <c r="B30" s="101" t="s">
        <v>29</v>
      </c>
      <c r="C30" s="102">
        <v>17.9</v>
      </c>
      <c r="D30" s="102">
        <v>18.4</v>
      </c>
      <c r="E30" s="102">
        <v>12.5</v>
      </c>
      <c r="F30" s="102">
        <v>18.09829377495808</v>
      </c>
      <c r="G30" s="102">
        <v>17.7</v>
      </c>
    </row>
    <row r="31" spans="1:7" ht="14.25">
      <c r="A31" s="101">
        <v>26</v>
      </c>
      <c r="B31" s="101" t="s">
        <v>30</v>
      </c>
      <c r="C31" s="102">
        <v>11.6</v>
      </c>
      <c r="D31" s="102">
        <v>12.8</v>
      </c>
      <c r="E31" s="102">
        <v>10</v>
      </c>
      <c r="F31" s="102">
        <v>17.238665255041933</v>
      </c>
      <c r="G31" s="102">
        <v>18.2</v>
      </c>
    </row>
    <row r="32" spans="1:7" ht="14.25">
      <c r="A32" s="101">
        <v>27</v>
      </c>
      <c r="B32" s="101" t="s">
        <v>31</v>
      </c>
      <c r="C32" s="102">
        <v>5.7</v>
      </c>
      <c r="D32" s="102">
        <v>8.1</v>
      </c>
      <c r="E32" s="102">
        <v>4.9</v>
      </c>
      <c r="F32" s="102">
        <v>4.159895557856117</v>
      </c>
      <c r="G32" s="102">
        <v>3.6</v>
      </c>
    </row>
    <row r="33" spans="1:7" ht="14.25">
      <c r="A33" s="101">
        <v>28</v>
      </c>
      <c r="B33" s="101" t="s">
        <v>32</v>
      </c>
      <c r="C33" s="102">
        <v>14.5</v>
      </c>
      <c r="D33" s="102">
        <v>17.1</v>
      </c>
      <c r="E33" s="102">
        <v>11</v>
      </c>
      <c r="F33" s="102">
        <v>18.8224581427957</v>
      </c>
      <c r="G33" s="102">
        <v>18</v>
      </c>
    </row>
    <row r="34" spans="1:7" ht="14.25">
      <c r="A34" s="101">
        <v>29</v>
      </c>
      <c r="B34" s="101" t="s">
        <v>33</v>
      </c>
      <c r="C34" s="102">
        <v>14.8</v>
      </c>
      <c r="D34" s="102">
        <v>19.3</v>
      </c>
      <c r="E34" s="102">
        <v>11.8</v>
      </c>
      <c r="F34" s="102">
        <v>20.492606489313413</v>
      </c>
      <c r="G34" s="102">
        <v>21.3</v>
      </c>
    </row>
    <row r="35" spans="1:7" ht="14.25">
      <c r="A35" s="101">
        <v>30</v>
      </c>
      <c r="B35" s="101" t="s">
        <v>34</v>
      </c>
      <c r="C35" s="102">
        <v>7</v>
      </c>
      <c r="D35" s="102">
        <v>8.9</v>
      </c>
      <c r="E35" s="102">
        <v>6.1</v>
      </c>
      <c r="F35" s="102">
        <v>10.97636995492083</v>
      </c>
      <c r="G35" s="102">
        <v>11.2</v>
      </c>
    </row>
    <row r="36" spans="1:7" ht="14.25">
      <c r="A36" s="101">
        <v>31</v>
      </c>
      <c r="B36" s="101" t="s">
        <v>35</v>
      </c>
      <c r="C36" s="102">
        <v>12.2</v>
      </c>
      <c r="D36" s="102">
        <v>12.8</v>
      </c>
      <c r="E36" s="102">
        <v>9.1</v>
      </c>
      <c r="F36" s="102">
        <v>14.922886220122338</v>
      </c>
      <c r="G36" s="102">
        <v>13.9</v>
      </c>
    </row>
    <row r="37" spans="1:7" ht="14.25">
      <c r="A37" s="101">
        <v>32</v>
      </c>
      <c r="B37" s="101" t="s">
        <v>36</v>
      </c>
      <c r="C37" s="102">
        <v>15.3</v>
      </c>
      <c r="D37" s="102">
        <v>15.3</v>
      </c>
      <c r="E37" s="102">
        <v>14.7</v>
      </c>
      <c r="F37" s="102">
        <v>18.867106495146537</v>
      </c>
      <c r="G37" s="102">
        <v>18.5</v>
      </c>
    </row>
    <row r="38" spans="1:7" ht="14.25">
      <c r="A38" s="101">
        <v>33</v>
      </c>
      <c r="B38" s="101" t="s">
        <v>37</v>
      </c>
      <c r="C38" s="102">
        <v>13.4</v>
      </c>
      <c r="D38" s="102">
        <v>13.9</v>
      </c>
      <c r="E38" s="102">
        <v>13.5</v>
      </c>
      <c r="F38" s="102">
        <v>19.580532314487918</v>
      </c>
      <c r="G38" s="102">
        <v>20.7</v>
      </c>
    </row>
    <row r="39" spans="1:7" ht="14.25">
      <c r="A39" s="101">
        <v>34</v>
      </c>
      <c r="B39" s="101" t="s">
        <v>38</v>
      </c>
      <c r="C39" s="102">
        <v>8.5</v>
      </c>
      <c r="D39" s="102">
        <v>8.5</v>
      </c>
      <c r="E39" s="102">
        <v>9.9</v>
      </c>
      <c r="F39" s="102">
        <v>12.454240442779124</v>
      </c>
      <c r="G39" s="102">
        <v>15.1</v>
      </c>
    </row>
    <row r="40" spans="1:7" ht="14.25">
      <c r="A40" s="101">
        <v>35</v>
      </c>
      <c r="B40" s="101" t="s">
        <v>238</v>
      </c>
      <c r="C40" s="102">
        <v>11.4</v>
      </c>
      <c r="D40" s="102">
        <v>13.4</v>
      </c>
      <c r="E40" s="102">
        <v>10.5</v>
      </c>
      <c r="F40" s="102">
        <v>15.51119539378298</v>
      </c>
      <c r="G40" s="102">
        <v>16.8</v>
      </c>
    </row>
    <row r="41" spans="1:7" ht="14.25">
      <c r="A41" s="101">
        <v>36</v>
      </c>
      <c r="B41" s="101" t="s">
        <v>39</v>
      </c>
      <c r="C41" s="102">
        <v>8</v>
      </c>
      <c r="D41" s="102">
        <v>12</v>
      </c>
      <c r="E41" s="102">
        <v>6.3</v>
      </c>
      <c r="F41" s="102">
        <v>14.403675547571462</v>
      </c>
      <c r="G41" s="102">
        <v>14.4</v>
      </c>
    </row>
    <row r="42" spans="1:7" ht="14.25">
      <c r="A42" s="101">
        <v>37</v>
      </c>
      <c r="B42" s="101" t="s">
        <v>40</v>
      </c>
      <c r="C42" s="102">
        <v>14.9</v>
      </c>
      <c r="D42" s="102">
        <v>24.1</v>
      </c>
      <c r="E42" s="102">
        <v>15.4</v>
      </c>
      <c r="F42" s="102">
        <v>22.936574456449232</v>
      </c>
      <c r="G42" s="102">
        <v>26.3</v>
      </c>
    </row>
    <row r="43" spans="1:7" ht="14.25">
      <c r="A43" s="101">
        <v>38</v>
      </c>
      <c r="B43" s="101" t="s">
        <v>41</v>
      </c>
      <c r="C43" s="102">
        <v>12.1</v>
      </c>
      <c r="D43" s="102">
        <v>12.1</v>
      </c>
      <c r="E43" s="102">
        <v>7.5</v>
      </c>
      <c r="F43" s="102">
        <v>18.29092696341757</v>
      </c>
      <c r="G43" s="102">
        <v>14.6</v>
      </c>
    </row>
    <row r="44" spans="1:7" ht="14.25">
      <c r="A44" s="101">
        <v>39</v>
      </c>
      <c r="B44" s="101" t="s">
        <v>42</v>
      </c>
      <c r="C44" s="102">
        <v>19</v>
      </c>
      <c r="D44" s="102">
        <v>20.5</v>
      </c>
      <c r="E44" s="102">
        <v>14.2</v>
      </c>
      <c r="F44" s="102">
        <v>23.532252294737386</v>
      </c>
      <c r="G44" s="102">
        <v>24.9</v>
      </c>
    </row>
    <row r="45" spans="1:7" ht="14.25">
      <c r="A45" s="101">
        <v>40</v>
      </c>
      <c r="B45" s="101" t="s">
        <v>43</v>
      </c>
      <c r="C45" s="102">
        <v>11.2</v>
      </c>
      <c r="D45" s="102">
        <v>13.8</v>
      </c>
      <c r="E45" s="102">
        <v>8.9</v>
      </c>
      <c r="F45" s="102">
        <v>18.595805346226392</v>
      </c>
      <c r="G45" s="102">
        <v>16.9</v>
      </c>
    </row>
    <row r="46" spans="1:7" ht="14.25">
      <c r="A46" s="101">
        <v>41</v>
      </c>
      <c r="B46" s="101" t="s">
        <v>44</v>
      </c>
      <c r="C46" s="102">
        <v>11.4</v>
      </c>
      <c r="D46" s="102">
        <v>12.7</v>
      </c>
      <c r="E46" s="102">
        <v>13.9</v>
      </c>
      <c r="F46" s="102">
        <v>16.837252882623655</v>
      </c>
      <c r="G46" s="102">
        <v>19.8</v>
      </c>
    </row>
    <row r="47" spans="1:7" ht="14.25">
      <c r="A47" s="101">
        <v>42</v>
      </c>
      <c r="B47" s="101" t="s">
        <v>45</v>
      </c>
      <c r="C47" s="102">
        <v>12.2</v>
      </c>
      <c r="D47" s="102">
        <v>13</v>
      </c>
      <c r="E47" s="102">
        <v>8.3</v>
      </c>
      <c r="F47" s="102">
        <v>13.234608643770743</v>
      </c>
      <c r="G47" s="102">
        <v>13.8</v>
      </c>
    </row>
    <row r="48" spans="1:7" ht="14.25">
      <c r="A48" s="101">
        <v>43</v>
      </c>
      <c r="B48" s="101" t="s">
        <v>46</v>
      </c>
      <c r="C48" s="102">
        <v>10.6</v>
      </c>
      <c r="D48" s="102">
        <v>11</v>
      </c>
      <c r="E48" s="102">
        <v>9.2</v>
      </c>
      <c r="F48" s="102">
        <v>11.889908096301975</v>
      </c>
      <c r="G48" s="102">
        <v>13</v>
      </c>
    </row>
    <row r="49" spans="1:7" ht="14.25">
      <c r="A49" s="101">
        <v>44</v>
      </c>
      <c r="B49" s="101" t="s">
        <v>47</v>
      </c>
      <c r="C49" s="102">
        <v>14.6</v>
      </c>
      <c r="D49" s="102">
        <v>19.3</v>
      </c>
      <c r="E49" s="102">
        <v>12.9</v>
      </c>
      <c r="F49" s="102">
        <v>21.199043307558206</v>
      </c>
      <c r="G49" s="102">
        <v>22.5</v>
      </c>
    </row>
    <row r="50" spans="1:7" ht="14.25">
      <c r="A50" s="101">
        <v>45</v>
      </c>
      <c r="B50" s="101" t="s">
        <v>48</v>
      </c>
      <c r="C50" s="102">
        <v>19.1</v>
      </c>
      <c r="D50" s="102">
        <v>24.4</v>
      </c>
      <c r="E50" s="102">
        <v>13.4</v>
      </c>
      <c r="F50" s="102">
        <v>22.386971137078472</v>
      </c>
      <c r="G50" s="102">
        <v>22.8</v>
      </c>
    </row>
    <row r="51" spans="1:7" ht="14.25">
      <c r="A51" s="101">
        <v>46</v>
      </c>
      <c r="B51" s="101" t="s">
        <v>49</v>
      </c>
      <c r="C51" s="102">
        <v>16.1</v>
      </c>
      <c r="D51" s="102">
        <v>19.1</v>
      </c>
      <c r="E51" s="102">
        <v>11.1</v>
      </c>
      <c r="F51" s="102">
        <v>19.24836679994769</v>
      </c>
      <c r="G51" s="102">
        <v>19.9</v>
      </c>
    </row>
    <row r="52" spans="1:7" ht="14.25">
      <c r="A52" s="101">
        <v>47</v>
      </c>
      <c r="B52" s="101" t="s">
        <v>50</v>
      </c>
      <c r="C52" s="102">
        <v>18.5</v>
      </c>
      <c r="D52" s="102">
        <v>21.4</v>
      </c>
      <c r="E52" s="102">
        <v>11.1</v>
      </c>
      <c r="F52" s="102">
        <v>17.082538084142243</v>
      </c>
      <c r="G52" s="102">
        <v>16.8</v>
      </c>
    </row>
    <row r="53" spans="1:7" ht="14.25">
      <c r="A53" s="101">
        <v>48</v>
      </c>
      <c r="B53" s="101" t="s">
        <v>51</v>
      </c>
      <c r="C53" s="102">
        <v>7.3</v>
      </c>
      <c r="D53" s="102">
        <v>9.4</v>
      </c>
      <c r="E53" s="102">
        <v>6.8</v>
      </c>
      <c r="F53" s="102">
        <v>9.193784880821584</v>
      </c>
      <c r="G53" s="102">
        <v>9.6</v>
      </c>
    </row>
    <row r="54" spans="1:7" ht="14.25">
      <c r="A54" s="101">
        <v>49</v>
      </c>
      <c r="B54" s="101" t="s">
        <v>52</v>
      </c>
      <c r="C54" s="102">
        <v>21.9</v>
      </c>
      <c r="D54" s="102">
        <v>26.1</v>
      </c>
      <c r="E54" s="102">
        <v>14.2</v>
      </c>
      <c r="F54" s="102">
        <v>21.101320033521166</v>
      </c>
      <c r="G54" s="102">
        <v>21.1</v>
      </c>
    </row>
    <row r="55" spans="1:7" ht="14.25">
      <c r="A55" s="101">
        <v>50</v>
      </c>
      <c r="B55" s="101" t="s">
        <v>53</v>
      </c>
      <c r="C55" s="102">
        <v>16.5</v>
      </c>
      <c r="D55" s="102">
        <v>16.7</v>
      </c>
      <c r="E55" s="102">
        <v>13.6</v>
      </c>
      <c r="F55" s="102">
        <v>18.734754127070833</v>
      </c>
      <c r="G55" s="102">
        <v>17.9</v>
      </c>
    </row>
    <row r="56" spans="1:7" ht="14.25">
      <c r="A56" s="101">
        <v>51</v>
      </c>
      <c r="B56" s="101" t="s">
        <v>54</v>
      </c>
      <c r="C56" s="102">
        <v>8.9</v>
      </c>
      <c r="D56" s="102">
        <v>8.9</v>
      </c>
      <c r="E56" s="102">
        <v>7.3</v>
      </c>
      <c r="F56" s="102">
        <v>13.710044303980084</v>
      </c>
      <c r="G56" s="102">
        <v>12</v>
      </c>
    </row>
    <row r="57" spans="1:7" ht="14.25">
      <c r="A57" s="101">
        <v>52</v>
      </c>
      <c r="B57" s="101" t="s">
        <v>55</v>
      </c>
      <c r="C57" s="102">
        <v>7.1</v>
      </c>
      <c r="D57" s="102">
        <v>7.1</v>
      </c>
      <c r="E57" s="102">
        <v>6.5</v>
      </c>
      <c r="F57" s="102">
        <v>10.706236898650005</v>
      </c>
      <c r="G57" s="102">
        <v>11</v>
      </c>
    </row>
    <row r="58" spans="1:7" ht="14.25">
      <c r="A58" s="101">
        <v>53</v>
      </c>
      <c r="B58" s="101" t="s">
        <v>56</v>
      </c>
      <c r="C58" s="102">
        <v>12.9</v>
      </c>
      <c r="D58" s="102">
        <v>12.9</v>
      </c>
      <c r="E58" s="102">
        <v>9.5</v>
      </c>
      <c r="F58" s="102">
        <v>17.82202748567944</v>
      </c>
      <c r="G58" s="102">
        <v>17.9</v>
      </c>
    </row>
    <row r="59" spans="1:7" ht="14.25">
      <c r="A59" s="101">
        <v>54</v>
      </c>
      <c r="B59" s="101" t="s">
        <v>57</v>
      </c>
      <c r="C59" s="102">
        <v>10.2</v>
      </c>
      <c r="D59" s="102">
        <v>10.2</v>
      </c>
      <c r="E59" s="102">
        <v>3.3</v>
      </c>
      <c r="F59" s="102">
        <v>12.297736921059027</v>
      </c>
      <c r="G59" s="102">
        <v>10.7</v>
      </c>
    </row>
    <row r="60" spans="1:7" ht="14.25">
      <c r="A60" s="101">
        <v>55</v>
      </c>
      <c r="B60" s="101" t="s">
        <v>58</v>
      </c>
      <c r="C60" s="102">
        <v>0.4</v>
      </c>
      <c r="D60" s="102">
        <v>0.4</v>
      </c>
      <c r="E60" s="102">
        <v>1.7</v>
      </c>
      <c r="F60" s="102">
        <v>1.5311080304491111</v>
      </c>
      <c r="G60" s="102">
        <v>3.9</v>
      </c>
    </row>
    <row r="61" spans="1:7" ht="14.25">
      <c r="A61" s="101">
        <v>56</v>
      </c>
      <c r="B61" s="101" t="s">
        <v>59</v>
      </c>
      <c r="C61" s="102">
        <v>21.9</v>
      </c>
      <c r="D61" s="102">
        <v>26</v>
      </c>
      <c r="E61" s="102">
        <v>16.2</v>
      </c>
      <c r="F61" s="102">
        <v>29.073604764980722</v>
      </c>
      <c r="G61" s="102">
        <v>30.1</v>
      </c>
    </row>
    <row r="62" spans="1:7" ht="14.25">
      <c r="A62" s="101">
        <v>57</v>
      </c>
      <c r="B62" s="101" t="s">
        <v>60</v>
      </c>
      <c r="C62" s="102">
        <v>12.4</v>
      </c>
      <c r="D62" s="102">
        <v>18.2</v>
      </c>
      <c r="E62" s="102">
        <v>9.6</v>
      </c>
      <c r="F62" s="102">
        <v>19.936789161215096</v>
      </c>
      <c r="G62" s="102">
        <v>19.1</v>
      </c>
    </row>
    <row r="63" spans="1:7" ht="14.25">
      <c r="A63" s="101">
        <v>58</v>
      </c>
      <c r="B63" s="101" t="s">
        <v>61</v>
      </c>
      <c r="C63" s="102">
        <v>17.9</v>
      </c>
      <c r="D63" s="102">
        <v>18.2</v>
      </c>
      <c r="E63" s="102">
        <v>15.1</v>
      </c>
      <c r="F63" s="102">
        <v>16.387327336973982</v>
      </c>
      <c r="G63" s="102">
        <v>16.8</v>
      </c>
    </row>
    <row r="64" spans="1:7" ht="14.25">
      <c r="A64" s="101">
        <v>59</v>
      </c>
      <c r="B64" s="101" t="s">
        <v>62</v>
      </c>
      <c r="C64" s="102">
        <v>11</v>
      </c>
      <c r="D64" s="102">
        <v>13.8</v>
      </c>
      <c r="E64" s="102">
        <v>8.5</v>
      </c>
      <c r="F64" s="102">
        <v>14.527611154578032</v>
      </c>
      <c r="G64" s="102">
        <v>14.8</v>
      </c>
    </row>
    <row r="65" spans="1:7" ht="14.25">
      <c r="A65" s="101">
        <v>60</v>
      </c>
      <c r="B65" s="101" t="s">
        <v>63</v>
      </c>
      <c r="C65" s="102">
        <v>10.6</v>
      </c>
      <c r="D65" s="102">
        <v>10.6</v>
      </c>
      <c r="E65" s="102">
        <v>6.9</v>
      </c>
      <c r="F65" s="102">
        <v>10.77216305957584</v>
      </c>
      <c r="G65" s="102">
        <v>9.9</v>
      </c>
    </row>
    <row r="66" spans="2:7" ht="14.25">
      <c r="B66" s="101" t="s">
        <v>162</v>
      </c>
      <c r="C66" s="268">
        <f>ROUND(SUM(C6:C18)/13,1)</f>
        <v>15.2</v>
      </c>
      <c r="D66" s="268">
        <f>ROUND(SUM(D6:D18)/13,1)</f>
        <v>17.9</v>
      </c>
      <c r="E66" s="268">
        <f>ROUND(SUM(E6:E18)/13,1)</f>
        <v>11.3</v>
      </c>
      <c r="F66" s="268">
        <f>ROUND(SUM(F6:F18)/13,1)</f>
        <v>16.6</v>
      </c>
      <c r="G66" s="268">
        <f>ROUND(SUM(G6:G18)/13,1)</f>
        <v>16.3</v>
      </c>
    </row>
    <row r="67" spans="2:7" ht="14.25">
      <c r="B67" s="101" t="s">
        <v>163</v>
      </c>
      <c r="C67" s="268">
        <f>ROUND(SUM(C19:C65)/47,1)</f>
        <v>12.9</v>
      </c>
      <c r="D67" s="268">
        <f>ROUND(SUM(D19:D65)/47,1)</f>
        <v>14.6</v>
      </c>
      <c r="E67" s="268">
        <f>ROUND(SUM(E19:E65)/47,1)</f>
        <v>10</v>
      </c>
      <c r="F67" s="268">
        <f>ROUND(SUM(F19:F65)/46,1)</f>
        <v>15.9</v>
      </c>
      <c r="G67" s="268">
        <f>ROUND(SUM(G19:G65)/46,1)</f>
        <v>16.1</v>
      </c>
    </row>
    <row r="68" spans="2:7" ht="14.25">
      <c r="B68" s="101" t="s">
        <v>164</v>
      </c>
      <c r="C68" s="268">
        <f>ROUND(SUM(C6:C65)/60,1)</f>
        <v>13.4</v>
      </c>
      <c r="D68" s="268">
        <f>ROUND(SUM(D6:D65)/60,1)</f>
        <v>15.3</v>
      </c>
      <c r="E68" s="268">
        <f>ROUND(SUM(E6:E65)/60,1)</f>
        <v>10.3</v>
      </c>
      <c r="F68" s="268">
        <f>ROUND(SUM(F6:F65)/59,1)</f>
        <v>16.1</v>
      </c>
      <c r="G68" s="268">
        <f>ROUND(SUM(G6:G65)/59,1)</f>
        <v>16.2</v>
      </c>
    </row>
    <row r="69" spans="3:7" ht="14.25">
      <c r="C69" s="102"/>
      <c r="D69" s="102"/>
      <c r="E69" s="102"/>
      <c r="G69" s="102"/>
    </row>
    <row r="70" spans="3:7" ht="14.25">
      <c r="C70" s="102"/>
      <c r="D70" s="102"/>
      <c r="E70" s="102"/>
      <c r="G70" s="102"/>
    </row>
  </sheetData>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68"/>
  <sheetViews>
    <sheetView workbookViewId="0" topLeftCell="A49">
      <selection activeCell="A1" sqref="A1"/>
    </sheetView>
  </sheetViews>
  <sheetFormatPr defaultColWidth="8.796875" defaultRowHeight="15"/>
  <cols>
    <col min="1" max="1" width="7.09765625" style="270" customWidth="1"/>
    <col min="2" max="2" width="15.19921875" style="270" customWidth="1"/>
    <col min="3" max="3" width="14.59765625" style="274" customWidth="1"/>
  </cols>
  <sheetData>
    <row r="1" spans="1:3" ht="14.25">
      <c r="A1" s="273" t="s">
        <v>309</v>
      </c>
      <c r="C1" s="274" t="s">
        <v>311</v>
      </c>
    </row>
    <row r="2" ht="14.25">
      <c r="A2" s="273"/>
    </row>
    <row r="3" ht="14.25">
      <c r="A3" s="273"/>
    </row>
    <row r="5" spans="1:3" ht="14.25">
      <c r="A5" s="271"/>
      <c r="B5" s="271" t="s">
        <v>312</v>
      </c>
      <c r="C5" s="275" t="s">
        <v>309</v>
      </c>
    </row>
    <row r="6" spans="1:3" ht="14.25">
      <c r="A6" s="271">
        <v>1</v>
      </c>
      <c r="B6" s="272" t="s">
        <v>0</v>
      </c>
      <c r="C6" s="275">
        <v>42.7</v>
      </c>
    </row>
    <row r="7" spans="1:3" ht="14.25">
      <c r="A7" s="271">
        <v>2</v>
      </c>
      <c r="B7" s="272" t="s">
        <v>1</v>
      </c>
      <c r="C7" s="275">
        <v>149.5</v>
      </c>
    </row>
    <row r="8" spans="1:3" ht="14.25">
      <c r="A8" s="271">
        <v>3</v>
      </c>
      <c r="B8" s="272" t="s">
        <v>2</v>
      </c>
      <c r="C8" s="275">
        <v>58.9</v>
      </c>
    </row>
    <row r="9" spans="1:3" ht="14.25">
      <c r="A9" s="271">
        <v>4</v>
      </c>
      <c r="B9" s="272" t="s">
        <v>3</v>
      </c>
      <c r="C9" s="275">
        <v>120.3</v>
      </c>
    </row>
    <row r="10" spans="1:3" ht="14.25">
      <c r="A10" s="271">
        <v>5</v>
      </c>
      <c r="B10" s="272" t="s">
        <v>4</v>
      </c>
      <c r="C10" s="275">
        <v>208.1</v>
      </c>
    </row>
    <row r="11" spans="1:3" ht="14.25">
      <c r="A11" s="271">
        <v>6</v>
      </c>
      <c r="B11" s="272" t="s">
        <v>5</v>
      </c>
      <c r="C11" s="275">
        <v>109.5</v>
      </c>
    </row>
    <row r="12" spans="1:3" ht="14.25">
      <c r="A12" s="271">
        <v>7</v>
      </c>
      <c r="B12" s="272" t="s">
        <v>6</v>
      </c>
      <c r="C12" s="275">
        <v>184.9</v>
      </c>
    </row>
    <row r="13" spans="1:3" ht="14.25">
      <c r="A13" s="271">
        <v>8</v>
      </c>
      <c r="B13" s="272" t="s">
        <v>7</v>
      </c>
      <c r="C13" s="275">
        <v>267.4</v>
      </c>
    </row>
    <row r="14" spans="1:3" ht="14.25">
      <c r="A14" s="271">
        <v>9</v>
      </c>
      <c r="B14" s="272" t="s">
        <v>8</v>
      </c>
      <c r="C14" s="275">
        <v>188</v>
      </c>
    </row>
    <row r="15" spans="1:3" ht="14.25">
      <c r="A15" s="271">
        <v>10</v>
      </c>
      <c r="B15" s="272" t="s">
        <v>154</v>
      </c>
      <c r="C15" s="275">
        <v>132.5</v>
      </c>
    </row>
    <row r="16" spans="1:3" ht="14.25">
      <c r="A16" s="271">
        <v>11</v>
      </c>
      <c r="B16" s="272" t="s">
        <v>235</v>
      </c>
      <c r="C16" s="275">
        <v>146.8</v>
      </c>
    </row>
    <row r="17" spans="1:3" ht="14.25">
      <c r="A17" s="271">
        <v>12</v>
      </c>
      <c r="B17" s="272" t="s">
        <v>236</v>
      </c>
      <c r="C17" s="275">
        <v>162.5</v>
      </c>
    </row>
    <row r="18" spans="1:3" ht="14.25">
      <c r="A18" s="271">
        <v>13</v>
      </c>
      <c r="B18" s="272" t="s">
        <v>285</v>
      </c>
      <c r="C18" s="275">
        <v>240</v>
      </c>
    </row>
    <row r="19" spans="1:3" ht="14.25">
      <c r="A19" s="271">
        <v>14</v>
      </c>
      <c r="B19" s="272" t="s">
        <v>10</v>
      </c>
      <c r="C19" s="275">
        <v>150.4</v>
      </c>
    </row>
    <row r="20" spans="1:3" ht="14.25">
      <c r="A20" s="271">
        <v>15</v>
      </c>
      <c r="B20" s="272" t="s">
        <v>12</v>
      </c>
      <c r="C20" s="275">
        <v>149.1</v>
      </c>
    </row>
    <row r="21" spans="1:3" ht="14.25">
      <c r="A21" s="271">
        <v>16</v>
      </c>
      <c r="B21" s="272" t="s">
        <v>17</v>
      </c>
      <c r="C21" s="275">
        <v>96.4</v>
      </c>
    </row>
    <row r="22" spans="1:3" ht="14.25">
      <c r="A22" s="271">
        <v>17</v>
      </c>
      <c r="B22" s="272" t="s">
        <v>18</v>
      </c>
      <c r="C22" s="276"/>
    </row>
    <row r="23" spans="1:3" ht="14.25">
      <c r="A23" s="271">
        <v>18</v>
      </c>
      <c r="B23" s="272" t="s">
        <v>19</v>
      </c>
      <c r="C23" s="275">
        <v>87.8</v>
      </c>
    </row>
    <row r="24" spans="1:3" ht="14.25">
      <c r="A24" s="271">
        <v>19</v>
      </c>
      <c r="B24" s="272" t="s">
        <v>20</v>
      </c>
      <c r="C24" s="275">
        <v>187.3</v>
      </c>
    </row>
    <row r="25" spans="1:3" ht="14.25">
      <c r="A25" s="271">
        <v>20</v>
      </c>
      <c r="B25" s="272" t="s">
        <v>21</v>
      </c>
      <c r="C25" s="275">
        <v>132</v>
      </c>
    </row>
    <row r="26" spans="1:3" ht="14.25">
      <c r="A26" s="271">
        <v>21</v>
      </c>
      <c r="B26" s="272" t="s">
        <v>23</v>
      </c>
      <c r="C26" s="275">
        <v>62.9</v>
      </c>
    </row>
    <row r="27" spans="1:3" ht="14.25">
      <c r="A27" s="271">
        <v>22</v>
      </c>
      <c r="B27" s="272" t="s">
        <v>25</v>
      </c>
      <c r="C27" s="277" t="s">
        <v>299</v>
      </c>
    </row>
    <row r="28" spans="1:3" ht="14.25">
      <c r="A28" s="271">
        <v>23</v>
      </c>
      <c r="B28" s="272" t="s">
        <v>28</v>
      </c>
      <c r="C28" s="275">
        <v>16.1</v>
      </c>
    </row>
    <row r="29" spans="1:3" ht="14.25">
      <c r="A29" s="271">
        <v>24</v>
      </c>
      <c r="B29" s="272" t="s">
        <v>237</v>
      </c>
      <c r="C29" s="275">
        <v>117.6</v>
      </c>
    </row>
    <row r="30" spans="1:3" ht="14.25">
      <c r="A30" s="271">
        <v>25</v>
      </c>
      <c r="B30" s="272" t="s">
        <v>29</v>
      </c>
      <c r="C30" s="275">
        <v>157.8</v>
      </c>
    </row>
    <row r="31" spans="1:3" ht="14.25">
      <c r="A31" s="271">
        <v>26</v>
      </c>
      <c r="B31" s="272" t="s">
        <v>30</v>
      </c>
      <c r="C31" s="275">
        <v>202.9</v>
      </c>
    </row>
    <row r="32" spans="1:3" ht="14.25">
      <c r="A32" s="271">
        <v>27</v>
      </c>
      <c r="B32" s="272" t="s">
        <v>31</v>
      </c>
      <c r="C32" s="275">
        <v>116.1</v>
      </c>
    </row>
    <row r="33" spans="1:3" ht="14.25">
      <c r="A33" s="271">
        <v>28</v>
      </c>
      <c r="B33" s="272" t="s">
        <v>32</v>
      </c>
      <c r="C33" s="275">
        <v>142</v>
      </c>
    </row>
    <row r="34" spans="1:3" ht="14.25">
      <c r="A34" s="271">
        <v>29</v>
      </c>
      <c r="B34" s="272" t="s">
        <v>33</v>
      </c>
      <c r="C34" s="275">
        <v>234.7</v>
      </c>
    </row>
    <row r="35" spans="1:3" ht="14.25">
      <c r="A35" s="271">
        <v>30</v>
      </c>
      <c r="B35" s="272" t="s">
        <v>34</v>
      </c>
      <c r="C35" s="275">
        <v>36.9</v>
      </c>
    </row>
    <row r="36" spans="1:3" ht="14.25">
      <c r="A36" s="271">
        <v>31</v>
      </c>
      <c r="B36" s="272" t="s">
        <v>35</v>
      </c>
      <c r="C36" s="275">
        <v>51.2</v>
      </c>
    </row>
    <row r="37" spans="1:3" ht="14.25">
      <c r="A37" s="271">
        <v>32</v>
      </c>
      <c r="B37" s="272" t="s">
        <v>36</v>
      </c>
      <c r="C37" s="275">
        <v>103.8</v>
      </c>
    </row>
    <row r="38" spans="1:3" ht="14.25">
      <c r="A38" s="271">
        <v>33</v>
      </c>
      <c r="B38" s="272" t="s">
        <v>37</v>
      </c>
      <c r="C38" s="275">
        <v>82.3</v>
      </c>
    </row>
    <row r="39" spans="1:3" ht="14.25">
      <c r="A39" s="271">
        <v>34</v>
      </c>
      <c r="B39" s="272" t="s">
        <v>38</v>
      </c>
      <c r="C39" s="275">
        <v>10.6</v>
      </c>
    </row>
    <row r="40" spans="1:3" ht="14.25">
      <c r="A40" s="271">
        <v>35</v>
      </c>
      <c r="B40" s="272" t="s">
        <v>238</v>
      </c>
      <c r="C40" s="275">
        <v>158.6</v>
      </c>
    </row>
    <row r="41" spans="1:3" ht="14.25">
      <c r="A41" s="271">
        <v>36</v>
      </c>
      <c r="B41" s="272" t="s">
        <v>39</v>
      </c>
      <c r="C41" s="275">
        <v>53</v>
      </c>
    </row>
    <row r="42" spans="1:3" ht="14.25">
      <c r="A42" s="271">
        <v>37</v>
      </c>
      <c r="B42" s="272" t="s">
        <v>40</v>
      </c>
      <c r="C42" s="275">
        <v>151.3</v>
      </c>
    </row>
    <row r="43" spans="1:3" ht="14.25">
      <c r="A43" s="271">
        <v>38</v>
      </c>
      <c r="B43" s="272" t="s">
        <v>41</v>
      </c>
      <c r="C43" s="275">
        <v>67.9</v>
      </c>
    </row>
    <row r="44" spans="1:3" ht="14.25">
      <c r="A44" s="271">
        <v>39</v>
      </c>
      <c r="B44" s="272" t="s">
        <v>42</v>
      </c>
      <c r="C44" s="275">
        <v>185.3</v>
      </c>
    </row>
    <row r="45" spans="1:3" ht="14.25">
      <c r="A45" s="271">
        <v>40</v>
      </c>
      <c r="B45" s="272" t="s">
        <v>43</v>
      </c>
      <c r="C45" s="275">
        <v>117.9</v>
      </c>
    </row>
    <row r="46" spans="1:3" ht="14.25">
      <c r="A46" s="271">
        <v>41</v>
      </c>
      <c r="B46" s="272" t="s">
        <v>44</v>
      </c>
      <c r="C46" s="275">
        <v>44.2</v>
      </c>
    </row>
    <row r="47" spans="1:3" ht="14.25">
      <c r="A47" s="271">
        <v>42</v>
      </c>
      <c r="B47" s="272" t="s">
        <v>45</v>
      </c>
      <c r="C47" s="275">
        <v>86.5</v>
      </c>
    </row>
    <row r="48" spans="1:3" ht="14.25">
      <c r="A48" s="271">
        <v>43</v>
      </c>
      <c r="B48" s="272" t="s">
        <v>46</v>
      </c>
      <c r="C48" s="275">
        <v>52.1</v>
      </c>
    </row>
    <row r="49" spans="1:3" ht="14.25">
      <c r="A49" s="271">
        <v>44</v>
      </c>
      <c r="B49" s="272" t="s">
        <v>47</v>
      </c>
      <c r="C49" s="275">
        <v>108.7</v>
      </c>
    </row>
    <row r="50" spans="1:3" ht="14.25">
      <c r="A50" s="271">
        <v>45</v>
      </c>
      <c r="B50" s="272" t="s">
        <v>48</v>
      </c>
      <c r="C50" s="275">
        <v>160.9</v>
      </c>
    </row>
    <row r="51" spans="1:3" ht="14.25">
      <c r="A51" s="271">
        <v>46</v>
      </c>
      <c r="B51" s="272" t="s">
        <v>49</v>
      </c>
      <c r="C51" s="275">
        <v>145.9</v>
      </c>
    </row>
    <row r="52" spans="1:3" ht="14.25">
      <c r="A52" s="271">
        <v>47</v>
      </c>
      <c r="B52" s="272" t="s">
        <v>50</v>
      </c>
      <c r="C52" s="275">
        <v>106.9</v>
      </c>
    </row>
    <row r="53" spans="1:3" ht="14.25">
      <c r="A53" s="271">
        <v>48</v>
      </c>
      <c r="B53" s="272" t="s">
        <v>51</v>
      </c>
      <c r="C53" s="275">
        <v>0.8</v>
      </c>
    </row>
    <row r="54" spans="1:3" ht="14.25">
      <c r="A54" s="271">
        <v>49</v>
      </c>
      <c r="B54" s="272" t="s">
        <v>52</v>
      </c>
      <c r="C54" s="275">
        <v>218</v>
      </c>
    </row>
    <row r="55" spans="1:3" ht="14.25">
      <c r="A55" s="271">
        <v>50</v>
      </c>
      <c r="B55" s="272" t="s">
        <v>53</v>
      </c>
      <c r="C55" s="275">
        <v>62.9</v>
      </c>
    </row>
    <row r="56" spans="1:3" ht="14.25">
      <c r="A56" s="271">
        <v>51</v>
      </c>
      <c r="B56" s="272" t="s">
        <v>54</v>
      </c>
      <c r="C56" s="275">
        <v>55.2</v>
      </c>
    </row>
    <row r="57" spans="1:3" ht="14.25">
      <c r="A57" s="271">
        <v>52</v>
      </c>
      <c r="B57" s="272" t="s">
        <v>55</v>
      </c>
      <c r="C57" s="275">
        <v>7.6</v>
      </c>
    </row>
    <row r="58" spans="1:3" ht="14.25">
      <c r="A58" s="271">
        <v>53</v>
      </c>
      <c r="B58" s="272" t="s">
        <v>56</v>
      </c>
      <c r="C58" s="275">
        <v>109.1</v>
      </c>
    </row>
    <row r="59" spans="1:3" ht="14.25">
      <c r="A59" s="271">
        <v>54</v>
      </c>
      <c r="B59" s="272" t="s">
        <v>57</v>
      </c>
      <c r="C59" s="275">
        <v>2.4</v>
      </c>
    </row>
    <row r="60" spans="1:3" ht="14.25">
      <c r="A60" s="271">
        <v>55</v>
      </c>
      <c r="B60" s="272" t="s">
        <v>58</v>
      </c>
      <c r="C60" s="277" t="s">
        <v>299</v>
      </c>
    </row>
    <row r="61" spans="1:3" ht="14.25">
      <c r="A61" s="271">
        <v>56</v>
      </c>
      <c r="B61" s="272" t="s">
        <v>59</v>
      </c>
      <c r="C61" s="275">
        <v>207.3</v>
      </c>
    </row>
    <row r="62" spans="1:3" ht="14.25">
      <c r="A62" s="271">
        <v>57</v>
      </c>
      <c r="B62" s="272" t="s">
        <v>60</v>
      </c>
      <c r="C62" s="275">
        <v>114.1</v>
      </c>
    </row>
    <row r="63" spans="1:3" ht="14.25">
      <c r="A63" s="271">
        <v>58</v>
      </c>
      <c r="B63" s="272" t="s">
        <v>61</v>
      </c>
      <c r="C63" s="275">
        <v>27.8</v>
      </c>
    </row>
    <row r="64" spans="1:3" ht="14.25">
      <c r="A64" s="271">
        <v>59</v>
      </c>
      <c r="B64" s="272" t="s">
        <v>62</v>
      </c>
      <c r="C64" s="275">
        <v>94.5</v>
      </c>
    </row>
    <row r="65" spans="1:3" ht="14.25">
      <c r="A65" s="271">
        <v>60</v>
      </c>
      <c r="B65" s="272" t="s">
        <v>63</v>
      </c>
      <c r="C65" s="275">
        <v>44.5</v>
      </c>
    </row>
    <row r="66" spans="1:3" ht="14.25">
      <c r="A66" s="332" t="s">
        <v>162</v>
      </c>
      <c r="B66" s="333"/>
      <c r="C66" s="275">
        <f>ROUND(SUM(C6:C18)/13,1)</f>
        <v>154.7</v>
      </c>
    </row>
    <row r="67" spans="1:3" ht="14.25">
      <c r="A67" s="332" t="s">
        <v>163</v>
      </c>
      <c r="B67" s="333"/>
      <c r="C67" s="275">
        <f>ROUND(SUM(C19:C65)/46,1)</f>
        <v>98.3</v>
      </c>
    </row>
    <row r="68" spans="1:3" ht="14.25">
      <c r="A68" s="332" t="s">
        <v>310</v>
      </c>
      <c r="B68" s="333"/>
      <c r="C68" s="275">
        <f>ROUND(SUM(C6:C65)/59,1)</f>
        <v>110.7</v>
      </c>
    </row>
  </sheetData>
  <mergeCells count="3">
    <mergeCell ref="A66:B66"/>
    <mergeCell ref="A67:B67"/>
    <mergeCell ref="A68:B68"/>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C61"/>
  <sheetViews>
    <sheetView workbookViewId="0" topLeftCell="A1">
      <selection activeCell="A1" sqref="A1"/>
    </sheetView>
  </sheetViews>
  <sheetFormatPr defaultColWidth="8.796875" defaultRowHeight="15"/>
  <cols>
    <col min="1" max="1" width="3.19921875" style="122" bestFit="1" customWidth="1"/>
    <col min="2" max="2" width="10.19921875" style="122" bestFit="1" customWidth="1"/>
    <col min="3" max="3" width="5" style="122" bestFit="1" customWidth="1"/>
    <col min="4" max="16384" width="9" style="122" customWidth="1"/>
  </cols>
  <sheetData>
    <row r="1" ht="12.75">
      <c r="C1" s="224" t="s">
        <v>168</v>
      </c>
    </row>
    <row r="2" spans="1:3" ht="12.75">
      <c r="A2" s="122">
        <v>1</v>
      </c>
      <c r="B2" s="201" t="s">
        <v>0</v>
      </c>
      <c r="C2" s="122" t="s">
        <v>286</v>
      </c>
    </row>
    <row r="3" spans="1:3" ht="12.75">
      <c r="A3" s="122">
        <v>2</v>
      </c>
      <c r="B3" s="201" t="s">
        <v>1</v>
      </c>
      <c r="C3" s="122" t="s">
        <v>245</v>
      </c>
    </row>
    <row r="4" spans="1:3" ht="12.75">
      <c r="A4" s="122">
        <v>3</v>
      </c>
      <c r="B4" s="201" t="s">
        <v>2</v>
      </c>
      <c r="C4" s="122" t="s">
        <v>293</v>
      </c>
    </row>
    <row r="5" spans="1:3" ht="12.75">
      <c r="A5" s="122">
        <v>4</v>
      </c>
      <c r="B5" s="201" t="s">
        <v>3</v>
      </c>
      <c r="C5" s="122" t="s">
        <v>293</v>
      </c>
    </row>
    <row r="6" spans="1:3" ht="12.75">
      <c r="A6" s="122">
        <v>5</v>
      </c>
      <c r="B6" s="201" t="s">
        <v>4</v>
      </c>
      <c r="C6" s="122" t="s">
        <v>241</v>
      </c>
    </row>
    <row r="7" spans="1:3" ht="12">
      <c r="A7" s="122">
        <v>6</v>
      </c>
      <c r="B7" s="201" t="s">
        <v>5</v>
      </c>
      <c r="C7" s="122" t="s">
        <v>241</v>
      </c>
    </row>
    <row r="8" spans="1:3" ht="12">
      <c r="A8" s="122">
        <v>7</v>
      </c>
      <c r="B8" s="201" t="s">
        <v>6</v>
      </c>
      <c r="C8" s="122" t="s">
        <v>241</v>
      </c>
    </row>
    <row r="9" spans="1:3" ht="12">
      <c r="A9" s="122">
        <v>8</v>
      </c>
      <c r="B9" s="201" t="s">
        <v>7</v>
      </c>
      <c r="C9" s="122" t="s">
        <v>246</v>
      </c>
    </row>
    <row r="10" spans="1:3" ht="12">
      <c r="A10" s="122">
        <v>9</v>
      </c>
      <c r="B10" s="201" t="s">
        <v>8</v>
      </c>
      <c r="C10" s="122" t="s">
        <v>241</v>
      </c>
    </row>
    <row r="11" spans="1:3" ht="12">
      <c r="A11" s="122">
        <v>10</v>
      </c>
      <c r="B11" s="201" t="s">
        <v>154</v>
      </c>
      <c r="C11" s="122" t="s">
        <v>243</v>
      </c>
    </row>
    <row r="12" spans="1:3" ht="12">
      <c r="A12" s="122">
        <v>11</v>
      </c>
      <c r="B12" s="201" t="s">
        <v>235</v>
      </c>
      <c r="C12" s="122" t="s">
        <v>247</v>
      </c>
    </row>
    <row r="13" spans="1:3" ht="12">
      <c r="A13" s="122">
        <v>12</v>
      </c>
      <c r="B13" s="201" t="s">
        <v>236</v>
      </c>
      <c r="C13" s="122" t="s">
        <v>241</v>
      </c>
    </row>
    <row r="14" spans="1:3" ht="12">
      <c r="A14" s="122">
        <v>13</v>
      </c>
      <c r="B14" s="201" t="s">
        <v>285</v>
      </c>
      <c r="C14" s="122" t="s">
        <v>243</v>
      </c>
    </row>
    <row r="15" spans="1:3" ht="12">
      <c r="A15" s="122">
        <v>14</v>
      </c>
      <c r="B15" s="201" t="s">
        <v>10</v>
      </c>
      <c r="C15" s="122" t="s">
        <v>245</v>
      </c>
    </row>
    <row r="16" spans="1:3" ht="12">
      <c r="A16" s="122">
        <v>15</v>
      </c>
      <c r="B16" s="201" t="s">
        <v>12</v>
      </c>
      <c r="C16" s="122" t="s">
        <v>245</v>
      </c>
    </row>
    <row r="17" spans="1:3" ht="12">
      <c r="A17" s="122">
        <v>16</v>
      </c>
      <c r="B17" s="201" t="s">
        <v>17</v>
      </c>
      <c r="C17" s="122" t="s">
        <v>286</v>
      </c>
    </row>
    <row r="18" spans="1:3" ht="12">
      <c r="A18" s="122">
        <v>17</v>
      </c>
      <c r="B18" s="201" t="s">
        <v>18</v>
      </c>
      <c r="C18" s="122" t="s">
        <v>247</v>
      </c>
    </row>
    <row r="19" spans="1:3" ht="12">
      <c r="A19" s="122">
        <v>18</v>
      </c>
      <c r="B19" s="201" t="s">
        <v>19</v>
      </c>
      <c r="C19" s="122" t="s">
        <v>247</v>
      </c>
    </row>
    <row r="20" spans="1:3" ht="12">
      <c r="A20" s="122">
        <v>19</v>
      </c>
      <c r="B20" s="201" t="s">
        <v>20</v>
      </c>
      <c r="C20" s="122" t="s">
        <v>245</v>
      </c>
    </row>
    <row r="21" spans="1:3" ht="12">
      <c r="A21" s="122">
        <v>20</v>
      </c>
      <c r="B21" s="201" t="s">
        <v>21</v>
      </c>
      <c r="C21" s="122" t="s">
        <v>247</v>
      </c>
    </row>
    <row r="22" spans="1:3" ht="12">
      <c r="A22" s="122">
        <v>21</v>
      </c>
      <c r="B22" s="201" t="s">
        <v>23</v>
      </c>
      <c r="C22" s="122" t="s">
        <v>247</v>
      </c>
    </row>
    <row r="23" spans="1:3" ht="12">
      <c r="A23" s="122">
        <v>22</v>
      </c>
      <c r="B23" s="201" t="s">
        <v>25</v>
      </c>
      <c r="C23" s="122" t="s">
        <v>242</v>
      </c>
    </row>
    <row r="24" spans="1:3" ht="12">
      <c r="A24" s="122">
        <v>23</v>
      </c>
      <c r="B24" s="201" t="s">
        <v>28</v>
      </c>
      <c r="C24" s="122" t="s">
        <v>241</v>
      </c>
    </row>
    <row r="25" spans="1:3" ht="12">
      <c r="A25" s="122">
        <v>24</v>
      </c>
      <c r="B25" s="201" t="s">
        <v>237</v>
      </c>
      <c r="C25" s="122" t="s">
        <v>286</v>
      </c>
    </row>
    <row r="26" spans="1:3" ht="12">
      <c r="A26" s="122">
        <v>25</v>
      </c>
      <c r="B26" s="201" t="s">
        <v>29</v>
      </c>
      <c r="C26" s="122" t="s">
        <v>242</v>
      </c>
    </row>
    <row r="27" spans="1:3" ht="12">
      <c r="A27" s="122">
        <v>26</v>
      </c>
      <c r="B27" s="201" t="s">
        <v>30</v>
      </c>
      <c r="C27" s="122" t="s">
        <v>241</v>
      </c>
    </row>
    <row r="28" spans="1:3" ht="12">
      <c r="A28" s="122">
        <v>27</v>
      </c>
      <c r="B28" s="201" t="s">
        <v>31</v>
      </c>
      <c r="C28" s="122" t="s">
        <v>246</v>
      </c>
    </row>
    <row r="29" spans="1:3" ht="12">
      <c r="A29" s="122">
        <v>28</v>
      </c>
      <c r="B29" s="201" t="s">
        <v>32</v>
      </c>
      <c r="C29" s="122" t="s">
        <v>244</v>
      </c>
    </row>
    <row r="30" spans="1:3" ht="12">
      <c r="A30" s="122">
        <v>29</v>
      </c>
      <c r="B30" s="201" t="s">
        <v>33</v>
      </c>
      <c r="C30" s="122" t="s">
        <v>286</v>
      </c>
    </row>
    <row r="31" spans="1:3" ht="12">
      <c r="A31" s="122">
        <v>30</v>
      </c>
      <c r="B31" s="201" t="s">
        <v>34</v>
      </c>
      <c r="C31" s="122" t="s">
        <v>243</v>
      </c>
    </row>
    <row r="32" spans="1:3" ht="12">
      <c r="A32" s="122">
        <v>31</v>
      </c>
      <c r="B32" s="201" t="s">
        <v>35</v>
      </c>
      <c r="C32" s="122" t="s">
        <v>243</v>
      </c>
    </row>
    <row r="33" spans="1:3" ht="12">
      <c r="A33" s="122">
        <v>32</v>
      </c>
      <c r="B33" s="201" t="s">
        <v>36</v>
      </c>
      <c r="C33" s="122" t="s">
        <v>246</v>
      </c>
    </row>
    <row r="34" spans="1:3" ht="12">
      <c r="A34" s="122">
        <v>33</v>
      </c>
      <c r="B34" s="201" t="s">
        <v>37</v>
      </c>
      <c r="C34" s="122" t="s">
        <v>242</v>
      </c>
    </row>
    <row r="35" spans="1:3" ht="12">
      <c r="A35" s="122">
        <v>34</v>
      </c>
      <c r="B35" s="201" t="s">
        <v>38</v>
      </c>
      <c r="C35" s="122" t="s">
        <v>243</v>
      </c>
    </row>
    <row r="36" spans="1:3" ht="12">
      <c r="A36" s="122">
        <v>35</v>
      </c>
      <c r="B36" s="201" t="s">
        <v>238</v>
      </c>
      <c r="C36" s="122" t="s">
        <v>287</v>
      </c>
    </row>
    <row r="37" spans="1:3" ht="12">
      <c r="A37" s="122">
        <v>36</v>
      </c>
      <c r="B37" s="201" t="s">
        <v>39</v>
      </c>
      <c r="C37" s="122" t="s">
        <v>286</v>
      </c>
    </row>
    <row r="38" spans="1:3" ht="12">
      <c r="A38" s="122">
        <v>37</v>
      </c>
      <c r="B38" s="201" t="s">
        <v>40</v>
      </c>
      <c r="C38" s="122" t="s">
        <v>247</v>
      </c>
    </row>
    <row r="39" spans="1:3" ht="12">
      <c r="A39" s="122">
        <v>38</v>
      </c>
      <c r="B39" s="201" t="s">
        <v>41</v>
      </c>
      <c r="C39" s="122" t="s">
        <v>247</v>
      </c>
    </row>
    <row r="40" spans="1:3" ht="12">
      <c r="A40" s="122">
        <v>39</v>
      </c>
      <c r="B40" s="201" t="s">
        <v>42</v>
      </c>
      <c r="C40" s="122" t="s">
        <v>286</v>
      </c>
    </row>
    <row r="41" spans="1:3" ht="12">
      <c r="A41" s="122">
        <v>40</v>
      </c>
      <c r="B41" s="201" t="s">
        <v>43</v>
      </c>
      <c r="C41" s="122" t="s">
        <v>286</v>
      </c>
    </row>
    <row r="42" spans="1:3" ht="12">
      <c r="A42" s="122">
        <v>41</v>
      </c>
      <c r="B42" s="201" t="s">
        <v>44</v>
      </c>
      <c r="C42" s="122" t="s">
        <v>247</v>
      </c>
    </row>
    <row r="43" spans="1:3" ht="12">
      <c r="A43" s="122">
        <v>42</v>
      </c>
      <c r="B43" s="201" t="s">
        <v>45</v>
      </c>
      <c r="C43" s="122" t="s">
        <v>288</v>
      </c>
    </row>
    <row r="44" spans="1:3" ht="12">
      <c r="A44" s="122">
        <v>43</v>
      </c>
      <c r="B44" s="201" t="s">
        <v>46</v>
      </c>
      <c r="C44" s="122" t="s">
        <v>243</v>
      </c>
    </row>
    <row r="45" spans="1:3" ht="12">
      <c r="A45" s="122">
        <v>44</v>
      </c>
      <c r="B45" s="201" t="s">
        <v>47</v>
      </c>
      <c r="C45" s="122" t="s">
        <v>286</v>
      </c>
    </row>
    <row r="46" spans="1:3" ht="12">
      <c r="A46" s="122">
        <v>45</v>
      </c>
      <c r="B46" s="201" t="s">
        <v>48</v>
      </c>
      <c r="C46" s="122" t="s">
        <v>247</v>
      </c>
    </row>
    <row r="47" spans="1:3" ht="12">
      <c r="A47" s="122">
        <v>46</v>
      </c>
      <c r="B47" s="201" t="s">
        <v>49</v>
      </c>
      <c r="C47" s="122" t="s">
        <v>241</v>
      </c>
    </row>
    <row r="48" spans="1:3" ht="12">
      <c r="A48" s="122">
        <v>47</v>
      </c>
      <c r="B48" s="201" t="s">
        <v>50</v>
      </c>
      <c r="C48" s="122" t="s">
        <v>247</v>
      </c>
    </row>
    <row r="49" spans="1:3" ht="12">
      <c r="A49" s="122">
        <v>48</v>
      </c>
      <c r="B49" s="201" t="s">
        <v>51</v>
      </c>
      <c r="C49" s="122" t="s">
        <v>247</v>
      </c>
    </row>
    <row r="50" spans="1:3" ht="12">
      <c r="A50" s="122">
        <v>49</v>
      </c>
      <c r="B50" s="201" t="s">
        <v>52</v>
      </c>
      <c r="C50" s="122" t="s">
        <v>244</v>
      </c>
    </row>
    <row r="51" spans="1:3" ht="12">
      <c r="A51" s="122">
        <v>50</v>
      </c>
      <c r="B51" s="201" t="s">
        <v>53</v>
      </c>
      <c r="C51" s="122" t="s">
        <v>245</v>
      </c>
    </row>
    <row r="52" spans="1:3" ht="12">
      <c r="A52" s="122">
        <v>51</v>
      </c>
      <c r="B52" s="201" t="s">
        <v>54</v>
      </c>
      <c r="C52" s="122" t="s">
        <v>239</v>
      </c>
    </row>
    <row r="53" spans="1:3" ht="12">
      <c r="A53" s="122">
        <v>52</v>
      </c>
      <c r="B53" s="201" t="s">
        <v>55</v>
      </c>
      <c r="C53" s="122" t="s">
        <v>239</v>
      </c>
    </row>
    <row r="54" spans="1:3" ht="12">
      <c r="A54" s="122">
        <v>53</v>
      </c>
      <c r="B54" s="201" t="s">
        <v>56</v>
      </c>
      <c r="C54" s="122" t="s">
        <v>244</v>
      </c>
    </row>
    <row r="55" spans="1:3" ht="12">
      <c r="A55" s="122">
        <v>54</v>
      </c>
      <c r="B55" s="201" t="s">
        <v>57</v>
      </c>
      <c r="C55" s="122" t="s">
        <v>243</v>
      </c>
    </row>
    <row r="56" spans="1:3" ht="12">
      <c r="A56" s="122">
        <v>55</v>
      </c>
      <c r="B56" s="201" t="s">
        <v>58</v>
      </c>
      <c r="C56" s="122" t="s">
        <v>240</v>
      </c>
    </row>
    <row r="57" spans="1:3" ht="12">
      <c r="A57" s="122">
        <v>56</v>
      </c>
      <c r="B57" s="201" t="s">
        <v>59</v>
      </c>
      <c r="C57" s="122" t="s">
        <v>239</v>
      </c>
    </row>
    <row r="58" spans="1:3" ht="12">
      <c r="A58" s="122">
        <v>57</v>
      </c>
      <c r="B58" s="201" t="s">
        <v>60</v>
      </c>
      <c r="C58" s="122" t="s">
        <v>297</v>
      </c>
    </row>
    <row r="59" spans="1:3" ht="12">
      <c r="A59" s="122">
        <v>58</v>
      </c>
      <c r="B59" s="201" t="s">
        <v>61</v>
      </c>
      <c r="C59" s="122" t="s">
        <v>243</v>
      </c>
    </row>
    <row r="60" spans="1:3" ht="12">
      <c r="A60" s="122">
        <v>59</v>
      </c>
      <c r="B60" s="201" t="s">
        <v>62</v>
      </c>
      <c r="C60" s="122" t="s">
        <v>247</v>
      </c>
    </row>
    <row r="61" spans="1:3" ht="12">
      <c r="A61" s="122">
        <v>60</v>
      </c>
      <c r="B61" s="201" t="s">
        <v>63</v>
      </c>
      <c r="C61" s="122" t="s">
        <v>241</v>
      </c>
    </row>
  </sheetData>
  <printOptions/>
  <pageMargins left="0.75" right="0.75" top="1" bottom="1" header="0.512" footer="0.512"/>
  <pageSetup fitToHeight="1" fitToWidth="1"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6"/>
  <dimension ref="A1:R113"/>
  <sheetViews>
    <sheetView zoomScale="75" zoomScaleNormal="75" workbookViewId="0" topLeftCell="A1">
      <pane xSplit="2" ySplit="3" topLeftCell="C49"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4" style="143" bestFit="1" customWidth="1"/>
    <col min="2" max="2" width="11" style="143" bestFit="1" customWidth="1"/>
    <col min="3" max="3" width="10.5" style="143" bestFit="1" customWidth="1"/>
    <col min="4" max="4" width="8.59765625" style="143" customWidth="1"/>
    <col min="5" max="5" width="10.69921875" style="144" customWidth="1"/>
    <col min="6" max="6" width="6.09765625" style="143" customWidth="1"/>
    <col min="7" max="7" width="9.69921875" style="144" bestFit="1" customWidth="1"/>
    <col min="8" max="8" width="6.09765625" style="143" customWidth="1"/>
    <col min="9" max="9" width="9.69921875" style="144" bestFit="1" customWidth="1"/>
    <col min="10" max="10" width="6.09765625" style="143" customWidth="1"/>
    <col min="11" max="11" width="7.69921875" style="143" bestFit="1" customWidth="1"/>
    <col min="12" max="14" width="13.59765625" style="145" customWidth="1"/>
    <col min="15" max="15" width="11.19921875" style="145" customWidth="1"/>
    <col min="16" max="16" width="11.3984375" style="143" bestFit="1" customWidth="1"/>
    <col min="17" max="17" width="11.3984375" style="143" customWidth="1"/>
    <col min="18" max="18" width="9.19921875" style="143" bestFit="1" customWidth="1"/>
    <col min="19" max="16384" width="8.69921875" style="143" customWidth="1"/>
  </cols>
  <sheetData>
    <row r="1" spans="12:16" ht="13.5">
      <c r="L1" s="334" t="s">
        <v>267</v>
      </c>
      <c r="M1" s="334"/>
      <c r="N1" s="334"/>
      <c r="P1" s="145"/>
    </row>
    <row r="2" spans="3:18" ht="27">
      <c r="C2" s="223" t="s">
        <v>284</v>
      </c>
      <c r="L2" s="222" t="s">
        <v>268</v>
      </c>
      <c r="M2" s="222" t="s">
        <v>269</v>
      </c>
      <c r="N2" s="222" t="s">
        <v>270</v>
      </c>
      <c r="O2" s="222" t="s">
        <v>68</v>
      </c>
      <c r="P2" s="221" t="s">
        <v>161</v>
      </c>
      <c r="Q2" s="221" t="s">
        <v>170</v>
      </c>
      <c r="R2" s="221" t="s">
        <v>159</v>
      </c>
    </row>
    <row r="3" spans="3:14" ht="13.5">
      <c r="C3" s="146"/>
      <c r="D3" s="146" t="s">
        <v>156</v>
      </c>
      <c r="E3" s="147">
        <v>1</v>
      </c>
      <c r="F3" s="146" t="s">
        <v>157</v>
      </c>
      <c r="G3" s="147">
        <v>2</v>
      </c>
      <c r="H3" s="146" t="s">
        <v>158</v>
      </c>
      <c r="I3" s="147">
        <v>3</v>
      </c>
      <c r="J3" s="146"/>
      <c r="K3" s="146"/>
      <c r="L3" s="145" t="s">
        <v>281</v>
      </c>
      <c r="M3" s="145" t="s">
        <v>282</v>
      </c>
      <c r="N3" s="145" t="s">
        <v>283</v>
      </c>
    </row>
    <row r="4" spans="1:18" ht="13.5">
      <c r="A4" s="143">
        <v>1</v>
      </c>
      <c r="B4" s="152" t="s">
        <v>0</v>
      </c>
      <c r="C4" s="148">
        <f>O4</f>
        <v>139259</v>
      </c>
      <c r="D4" s="149">
        <f>ROUND(L4/C4*100,1)</f>
        <v>5.9</v>
      </c>
      <c r="E4" s="150">
        <f>ROUND(L4/C4*100,3)</f>
        <v>5.946</v>
      </c>
      <c r="F4" s="149">
        <f>ROUND(M4/C4*100,1)</f>
        <v>22.9</v>
      </c>
      <c r="G4" s="150">
        <f>ROUND(M4/C4*100,3)</f>
        <v>22.938</v>
      </c>
      <c r="H4" s="149">
        <f>ROUND(N4/C4*100,1)</f>
        <v>71.1</v>
      </c>
      <c r="I4" s="150">
        <f>ROUND(N4/C4*100,3)</f>
        <v>71.116</v>
      </c>
      <c r="J4" s="149">
        <f>D4+F4+H4</f>
        <v>99.89999999999999</v>
      </c>
      <c r="K4" s="151">
        <f>E4+G4+I4</f>
        <v>100</v>
      </c>
      <c r="L4" s="145">
        <v>8280</v>
      </c>
      <c r="M4" s="145">
        <v>31943</v>
      </c>
      <c r="N4" s="145">
        <v>99036</v>
      </c>
      <c r="O4" s="145">
        <v>139259</v>
      </c>
      <c r="P4" s="153">
        <v>291121</v>
      </c>
      <c r="Q4" s="153">
        <v>290869</v>
      </c>
      <c r="R4" s="154">
        <v>746.43</v>
      </c>
    </row>
    <row r="5" spans="1:18" ht="13.5">
      <c r="A5" s="143">
        <v>2</v>
      </c>
      <c r="B5" s="152" t="s">
        <v>1</v>
      </c>
      <c r="C5" s="148">
        <f>O5</f>
        <v>62570</v>
      </c>
      <c r="D5" s="149">
        <f>ROUND(L5/C5*100,1)</f>
        <v>6.7</v>
      </c>
      <c r="E5" s="150">
        <f>ROUND(L5/C5*100,3)</f>
        <v>6.689</v>
      </c>
      <c r="F5" s="149">
        <f>ROUND(M5/C5*100,1)</f>
        <v>26.6</v>
      </c>
      <c r="G5" s="150">
        <f>ROUND(M5/C5*100,3)</f>
        <v>26.62</v>
      </c>
      <c r="H5" s="149">
        <f>ROUND(N5/C5*100,1)</f>
        <v>66.7</v>
      </c>
      <c r="I5" s="150">
        <f>ROUND(N5/C5*100,3)</f>
        <v>66.692</v>
      </c>
      <c r="J5" s="149">
        <f aca="true" t="shared" si="0" ref="J5:K8">D5+F5+H5</f>
        <v>100</v>
      </c>
      <c r="K5" s="151">
        <f t="shared" si="0"/>
        <v>100.00099999999999</v>
      </c>
      <c r="L5" s="153">
        <v>4185</v>
      </c>
      <c r="M5" s="153">
        <v>16656</v>
      </c>
      <c r="N5" s="153">
        <v>41729</v>
      </c>
      <c r="O5" s="153">
        <f>O71</f>
        <v>62570</v>
      </c>
      <c r="P5" s="153">
        <f>P71</f>
        <v>135415</v>
      </c>
      <c r="Q5" s="153">
        <v>131389</v>
      </c>
      <c r="R5" s="154">
        <v>383.03</v>
      </c>
    </row>
    <row r="6" spans="1:18" ht="13.5">
      <c r="A6" s="143">
        <v>3</v>
      </c>
      <c r="B6" s="152" t="s">
        <v>2</v>
      </c>
      <c r="C6" s="148">
        <f>O6</f>
        <v>159643</v>
      </c>
      <c r="D6" s="149">
        <f>ROUND(L6/C6*100,1)</f>
        <v>4.7</v>
      </c>
      <c r="E6" s="150">
        <f>ROUND(L6/C6*100,3)</f>
        <v>4.701</v>
      </c>
      <c r="F6" s="149">
        <f>ROUND(M6/C6*100,1)</f>
        <v>24.3</v>
      </c>
      <c r="G6" s="150">
        <f>ROUND(M6/C6*100,3)</f>
        <v>24.3</v>
      </c>
      <c r="H6" s="149">
        <f>ROUND(N6/C6*100,1)</f>
        <v>71</v>
      </c>
      <c r="I6" s="150">
        <f>ROUND(N6/C6*100,3)</f>
        <v>70.999</v>
      </c>
      <c r="J6" s="149">
        <f t="shared" si="0"/>
        <v>100</v>
      </c>
      <c r="K6" s="151">
        <f t="shared" si="0"/>
        <v>100</v>
      </c>
      <c r="L6" s="145">
        <v>7505</v>
      </c>
      <c r="M6" s="145">
        <v>38793</v>
      </c>
      <c r="N6" s="145">
        <v>113345</v>
      </c>
      <c r="O6" s="145">
        <v>159643</v>
      </c>
      <c r="P6" s="153">
        <v>334824</v>
      </c>
      <c r="Q6" s="153">
        <v>338834</v>
      </c>
      <c r="R6" s="154">
        <v>757.06</v>
      </c>
    </row>
    <row r="7" spans="1:18" ht="13.5">
      <c r="A7" s="143">
        <v>4</v>
      </c>
      <c r="B7" s="152" t="s">
        <v>3</v>
      </c>
      <c r="C7" s="148">
        <f>O7</f>
        <v>160757</v>
      </c>
      <c r="D7" s="149">
        <f>ROUND(L7/C7*100,1)</f>
        <v>4.2</v>
      </c>
      <c r="E7" s="150">
        <f>ROUND(L7/C7*100,3)</f>
        <v>4.156</v>
      </c>
      <c r="F7" s="149">
        <f>ROUND(M7/C7*100,1)</f>
        <v>32</v>
      </c>
      <c r="G7" s="150">
        <f>ROUND(M7/C7*100,3)</f>
        <v>31.995</v>
      </c>
      <c r="H7" s="149">
        <f>ROUND(N7/C7*100,1)</f>
        <v>63.8</v>
      </c>
      <c r="I7" s="150">
        <f>ROUND(N7/C7*100,3)</f>
        <v>63.849</v>
      </c>
      <c r="J7" s="149">
        <f t="shared" si="0"/>
        <v>100</v>
      </c>
      <c r="K7" s="151">
        <f t="shared" si="0"/>
        <v>100</v>
      </c>
      <c r="L7" s="145">
        <v>6681</v>
      </c>
      <c r="M7" s="145">
        <v>51435</v>
      </c>
      <c r="N7" s="145">
        <v>102641</v>
      </c>
      <c r="O7" s="145">
        <v>160757</v>
      </c>
      <c r="P7" s="153">
        <v>360138</v>
      </c>
      <c r="Q7" s="153">
        <v>354492</v>
      </c>
      <c r="R7" s="154">
        <v>1231.34</v>
      </c>
    </row>
    <row r="8" spans="1:18" ht="13.5">
      <c r="A8" s="143">
        <v>5</v>
      </c>
      <c r="B8" s="152" t="s">
        <v>4</v>
      </c>
      <c r="C8" s="148">
        <f>O8</f>
        <v>32135</v>
      </c>
      <c r="D8" s="149">
        <f>ROUND(L8/C8*100,1)</f>
        <v>7.8</v>
      </c>
      <c r="E8" s="150">
        <f>ROUND(L8/C8*100,3)</f>
        <v>7.826</v>
      </c>
      <c r="F8" s="149">
        <f>ROUND(M8/C8*100,1)</f>
        <v>37</v>
      </c>
      <c r="G8" s="150">
        <f>ROUND(M8/C8*100,3)</f>
        <v>37.013</v>
      </c>
      <c r="H8" s="149">
        <f>ROUND(N8/C8*100,1)</f>
        <v>55.2</v>
      </c>
      <c r="I8" s="150">
        <f>ROUND(N8/C8*100,3)</f>
        <v>55.161</v>
      </c>
      <c r="J8" s="149">
        <f t="shared" si="0"/>
        <v>100</v>
      </c>
      <c r="K8" s="151">
        <f t="shared" si="0"/>
        <v>100</v>
      </c>
      <c r="L8" s="153">
        <v>2515</v>
      </c>
      <c r="M8" s="153">
        <v>11894</v>
      </c>
      <c r="N8" s="153">
        <v>17726</v>
      </c>
      <c r="O8" s="153">
        <f>O77</f>
        <v>32135</v>
      </c>
      <c r="P8" s="153">
        <f>P77</f>
        <v>66048</v>
      </c>
      <c r="Q8" s="153">
        <v>65707</v>
      </c>
      <c r="R8" s="154">
        <v>305.3</v>
      </c>
    </row>
    <row r="9" spans="1:18" ht="13.5">
      <c r="A9" s="143">
        <v>6</v>
      </c>
      <c r="B9" s="152" t="s">
        <v>5</v>
      </c>
      <c r="C9" s="148">
        <f aca="true" t="shared" si="1" ref="C9:C15">O9</f>
        <v>39614</v>
      </c>
      <c r="D9" s="149">
        <f aca="true" t="shared" si="2" ref="D9:D15">ROUND(L9/C9*100,1)</f>
        <v>11.6</v>
      </c>
      <c r="E9" s="150">
        <f aca="true" t="shared" si="3" ref="E9:E15">ROUND(L9/C9*100,3)</f>
        <v>11.645</v>
      </c>
      <c r="F9" s="149">
        <f aca="true" t="shared" si="4" ref="F9:F15">ROUND(M9/C9*100,1)</f>
        <v>32.9</v>
      </c>
      <c r="G9" s="150">
        <f aca="true" t="shared" si="5" ref="G9:G15">ROUND(M9/C9*100,3)</f>
        <v>32.928</v>
      </c>
      <c r="H9" s="149">
        <f aca="true" t="shared" si="6" ref="H9:H15">ROUND(N9/C9*100,1)</f>
        <v>55.4</v>
      </c>
      <c r="I9" s="150">
        <f aca="true" t="shared" si="7" ref="I9:I15">ROUND(N9/C9*100,3)</f>
        <v>55.427</v>
      </c>
      <c r="J9" s="149">
        <f aca="true" t="shared" si="8" ref="J9:J16">D9+F9+H9</f>
        <v>99.9</v>
      </c>
      <c r="K9" s="151">
        <f aca="true" t="shared" si="9" ref="K9:K16">E9+G9+I9</f>
        <v>100</v>
      </c>
      <c r="L9" s="153">
        <v>4613</v>
      </c>
      <c r="M9" s="153">
        <v>13044</v>
      </c>
      <c r="N9" s="153">
        <v>21957</v>
      </c>
      <c r="O9" s="153">
        <v>39614</v>
      </c>
      <c r="P9" s="153">
        <v>79409</v>
      </c>
      <c r="Q9" s="153">
        <v>80364</v>
      </c>
      <c r="R9" s="154">
        <v>279.55</v>
      </c>
    </row>
    <row r="10" spans="1:18" ht="13.5">
      <c r="A10" s="143">
        <v>7</v>
      </c>
      <c r="B10" s="152" t="s">
        <v>6</v>
      </c>
      <c r="C10" s="148">
        <f t="shared" si="1"/>
        <v>27803</v>
      </c>
      <c r="D10" s="149">
        <f t="shared" si="2"/>
        <v>16.7</v>
      </c>
      <c r="E10" s="150">
        <f t="shared" si="3"/>
        <v>16.739</v>
      </c>
      <c r="F10" s="149">
        <f t="shared" si="4"/>
        <v>32.1</v>
      </c>
      <c r="G10" s="150">
        <f t="shared" si="5"/>
        <v>32.09</v>
      </c>
      <c r="H10" s="149">
        <f t="shared" si="6"/>
        <v>51.2</v>
      </c>
      <c r="I10" s="150">
        <f t="shared" si="7"/>
        <v>51.171</v>
      </c>
      <c r="J10" s="149">
        <f t="shared" si="8"/>
        <v>100</v>
      </c>
      <c r="K10" s="151">
        <f t="shared" si="9"/>
        <v>100</v>
      </c>
      <c r="L10" s="153">
        <v>4654</v>
      </c>
      <c r="M10" s="153">
        <v>8922</v>
      </c>
      <c r="N10" s="153">
        <v>14227</v>
      </c>
      <c r="O10" s="153">
        <f>O84</f>
        <v>27803</v>
      </c>
      <c r="P10" s="153">
        <f>P84</f>
        <v>58571</v>
      </c>
      <c r="Q10" s="153">
        <v>56396</v>
      </c>
      <c r="R10" s="154">
        <v>554.67</v>
      </c>
    </row>
    <row r="11" spans="1:18" ht="13.5">
      <c r="A11" s="143">
        <v>8</v>
      </c>
      <c r="B11" s="152" t="s">
        <v>7</v>
      </c>
      <c r="C11" s="148">
        <f t="shared" si="1"/>
        <v>18893</v>
      </c>
      <c r="D11" s="149">
        <f t="shared" si="2"/>
        <v>11.5</v>
      </c>
      <c r="E11" s="150">
        <f t="shared" si="3"/>
        <v>11.502</v>
      </c>
      <c r="F11" s="149">
        <f t="shared" si="4"/>
        <v>33.4</v>
      </c>
      <c r="G11" s="150">
        <f t="shared" si="5"/>
        <v>33.393</v>
      </c>
      <c r="H11" s="149">
        <f t="shared" si="6"/>
        <v>55.1</v>
      </c>
      <c r="I11" s="150">
        <f t="shared" si="7"/>
        <v>55.105</v>
      </c>
      <c r="J11" s="149">
        <f t="shared" si="8"/>
        <v>100</v>
      </c>
      <c r="K11" s="151">
        <f t="shared" si="9"/>
        <v>100</v>
      </c>
      <c r="L11" s="145">
        <v>2173</v>
      </c>
      <c r="M11" s="145">
        <v>6309</v>
      </c>
      <c r="N11" s="145">
        <v>10411</v>
      </c>
      <c r="O11" s="145">
        <v>18893</v>
      </c>
      <c r="P11" s="153">
        <v>38842</v>
      </c>
      <c r="Q11" s="153">
        <v>38630</v>
      </c>
      <c r="R11" s="154">
        <v>197.67</v>
      </c>
    </row>
    <row r="12" spans="1:18" ht="13.5">
      <c r="A12" s="143">
        <v>9</v>
      </c>
      <c r="B12" s="152" t="s">
        <v>8</v>
      </c>
      <c r="C12" s="148">
        <f t="shared" si="1"/>
        <v>32322</v>
      </c>
      <c r="D12" s="149">
        <f t="shared" si="2"/>
        <v>11.9</v>
      </c>
      <c r="E12" s="150">
        <f t="shared" si="3"/>
        <v>11.893</v>
      </c>
      <c r="F12" s="149">
        <f t="shared" si="4"/>
        <v>37.6</v>
      </c>
      <c r="G12" s="150">
        <f t="shared" si="5"/>
        <v>37.566</v>
      </c>
      <c r="H12" s="149">
        <f t="shared" si="6"/>
        <v>50.5</v>
      </c>
      <c r="I12" s="150">
        <f t="shared" si="7"/>
        <v>50.541</v>
      </c>
      <c r="J12" s="149">
        <f t="shared" si="8"/>
        <v>100</v>
      </c>
      <c r="K12" s="151">
        <f t="shared" si="9"/>
        <v>100</v>
      </c>
      <c r="L12" s="153">
        <v>3844</v>
      </c>
      <c r="M12" s="153">
        <v>12142</v>
      </c>
      <c r="N12" s="153">
        <v>16336</v>
      </c>
      <c r="O12" s="153">
        <f>O90</f>
        <v>32322</v>
      </c>
      <c r="P12" s="153">
        <f>P90</f>
        <v>66077</v>
      </c>
      <c r="Q12" s="153">
        <v>63178</v>
      </c>
      <c r="R12" s="154">
        <v>344.65</v>
      </c>
    </row>
    <row r="13" spans="1:18" ht="13.5">
      <c r="A13" s="143">
        <v>10</v>
      </c>
      <c r="B13" s="152" t="s">
        <v>155</v>
      </c>
      <c r="C13" s="148">
        <f t="shared" si="1"/>
        <v>22385</v>
      </c>
      <c r="D13" s="149">
        <f t="shared" si="2"/>
        <v>19.9</v>
      </c>
      <c r="E13" s="150">
        <f t="shared" si="3"/>
        <v>19.857</v>
      </c>
      <c r="F13" s="149">
        <f t="shared" si="4"/>
        <v>38.7</v>
      </c>
      <c r="G13" s="150">
        <f t="shared" si="5"/>
        <v>38.745</v>
      </c>
      <c r="H13" s="149">
        <f t="shared" si="6"/>
        <v>41.4</v>
      </c>
      <c r="I13" s="150">
        <f t="shared" si="7"/>
        <v>41.398</v>
      </c>
      <c r="J13" s="149">
        <f t="shared" si="8"/>
        <v>100</v>
      </c>
      <c r="K13" s="151">
        <f t="shared" si="9"/>
        <v>100</v>
      </c>
      <c r="L13" s="148">
        <v>4445</v>
      </c>
      <c r="M13" s="148">
        <v>8673</v>
      </c>
      <c r="N13" s="148">
        <v>9267</v>
      </c>
      <c r="O13" s="148">
        <v>22385</v>
      </c>
      <c r="P13" s="153">
        <v>45052</v>
      </c>
      <c r="Q13" s="153">
        <v>43253</v>
      </c>
      <c r="R13" s="154">
        <v>458.3</v>
      </c>
    </row>
    <row r="14" spans="1:18" ht="13.5">
      <c r="A14" s="143">
        <v>11</v>
      </c>
      <c r="B14" s="152" t="s">
        <v>235</v>
      </c>
      <c r="C14" s="148">
        <f t="shared" si="1"/>
        <v>35175</v>
      </c>
      <c r="D14" s="149">
        <f t="shared" si="2"/>
        <v>8.9</v>
      </c>
      <c r="E14" s="150">
        <f t="shared" si="3"/>
        <v>8.878</v>
      </c>
      <c r="F14" s="149">
        <f t="shared" si="4"/>
        <v>34.3</v>
      </c>
      <c r="G14" s="150">
        <f t="shared" si="5"/>
        <v>34.328</v>
      </c>
      <c r="H14" s="149">
        <f t="shared" si="6"/>
        <v>56.8</v>
      </c>
      <c r="I14" s="150">
        <f t="shared" si="7"/>
        <v>56.793</v>
      </c>
      <c r="J14" s="149">
        <f t="shared" si="8"/>
        <v>100</v>
      </c>
      <c r="K14" s="151">
        <f t="shared" si="9"/>
        <v>99.999</v>
      </c>
      <c r="L14" s="153">
        <v>3123</v>
      </c>
      <c r="M14" s="153">
        <v>12075</v>
      </c>
      <c r="N14" s="153">
        <v>19977</v>
      </c>
      <c r="O14" s="153">
        <f>O95</f>
        <v>35175</v>
      </c>
      <c r="P14" s="153">
        <f>P95</f>
        <v>75246</v>
      </c>
      <c r="Q14" s="153">
        <v>72837</v>
      </c>
      <c r="R14" s="154">
        <v>398.5</v>
      </c>
    </row>
    <row r="15" spans="1:18" ht="13.5">
      <c r="A15" s="143">
        <v>12</v>
      </c>
      <c r="B15" s="152" t="s">
        <v>236</v>
      </c>
      <c r="C15" s="148">
        <f t="shared" si="1"/>
        <v>35620</v>
      </c>
      <c r="D15" s="149">
        <f t="shared" si="2"/>
        <v>16.3</v>
      </c>
      <c r="E15" s="150">
        <f t="shared" si="3"/>
        <v>16.328</v>
      </c>
      <c r="F15" s="149">
        <f t="shared" si="4"/>
        <v>32.7</v>
      </c>
      <c r="G15" s="150">
        <f t="shared" si="5"/>
        <v>32.678</v>
      </c>
      <c r="H15" s="149">
        <f t="shared" si="6"/>
        <v>51</v>
      </c>
      <c r="I15" s="150">
        <f t="shared" si="7"/>
        <v>50.994</v>
      </c>
      <c r="J15" s="149">
        <f t="shared" si="8"/>
        <v>100</v>
      </c>
      <c r="K15" s="151">
        <f t="shared" si="9"/>
        <v>100</v>
      </c>
      <c r="L15" s="153">
        <v>5816</v>
      </c>
      <c r="M15" s="153">
        <v>11640</v>
      </c>
      <c r="N15" s="153">
        <v>18164</v>
      </c>
      <c r="O15" s="153">
        <f>O102</f>
        <v>35620</v>
      </c>
      <c r="P15" s="153">
        <f>P102</f>
        <v>71817</v>
      </c>
      <c r="Q15" s="153">
        <v>69289</v>
      </c>
      <c r="R15" s="154">
        <v>265.1</v>
      </c>
    </row>
    <row r="16" spans="1:18" ht="13.5">
      <c r="A16" s="143">
        <v>13</v>
      </c>
      <c r="B16" s="152" t="s">
        <v>280</v>
      </c>
      <c r="C16" s="148">
        <v>15745</v>
      </c>
      <c r="D16" s="149">
        <f>ROUND(L16/C16*100,1)</f>
        <v>8.1</v>
      </c>
      <c r="E16" s="150">
        <f>ROUND(L16/C16*100,3)</f>
        <v>8.149</v>
      </c>
      <c r="F16" s="149">
        <f>ROUND(M16/C16*100,1)</f>
        <v>36.8</v>
      </c>
      <c r="G16" s="150">
        <f>ROUND(M16/C16*100,3)</f>
        <v>36.818</v>
      </c>
      <c r="H16" s="149">
        <f>ROUND(N16/C16*100,1)</f>
        <v>55</v>
      </c>
      <c r="I16" s="150">
        <f>ROUND(N16/C16*100,3)</f>
        <v>55.033</v>
      </c>
      <c r="J16" s="149">
        <f t="shared" si="8"/>
        <v>99.9</v>
      </c>
      <c r="K16" s="151">
        <f t="shared" si="9"/>
        <v>100</v>
      </c>
      <c r="L16" s="153">
        <v>1283</v>
      </c>
      <c r="M16" s="153">
        <v>5797</v>
      </c>
      <c r="N16" s="153">
        <v>8665</v>
      </c>
      <c r="O16" s="148">
        <v>15745</v>
      </c>
      <c r="P16" s="153">
        <v>31541</v>
      </c>
      <c r="Q16" s="153">
        <v>31367</v>
      </c>
      <c r="R16" s="154">
        <v>87.94</v>
      </c>
    </row>
    <row r="17" spans="1:18" ht="13.5">
      <c r="A17" s="143">
        <v>14</v>
      </c>
      <c r="B17" s="152" t="s">
        <v>10</v>
      </c>
      <c r="C17" s="148">
        <f aca="true" t="shared" si="10" ref="C17:C55">O17</f>
        <v>6793</v>
      </c>
      <c r="D17" s="149">
        <f aca="true" t="shared" si="11" ref="D17:D55">ROUND(L17/C17*100,1)</f>
        <v>14.6</v>
      </c>
      <c r="E17" s="150">
        <f aca="true" t="shared" si="12" ref="E17:E55">ROUND(L17/C17*100,3)</f>
        <v>14.633</v>
      </c>
      <c r="F17" s="149">
        <f aca="true" t="shared" si="13" ref="F17:F55">ROUND(M17/C17*100,1)</f>
        <v>31.2</v>
      </c>
      <c r="G17" s="150">
        <f aca="true" t="shared" si="14" ref="G17:G55">ROUND(M17/C17*100,3)</f>
        <v>31.238</v>
      </c>
      <c r="H17" s="149">
        <f aca="true" t="shared" si="15" ref="H17:H55">ROUND(N17/C17*100,1)</f>
        <v>54.1</v>
      </c>
      <c r="I17" s="150">
        <f aca="true" t="shared" si="16" ref="I17:I55">ROUND(N17/C17*100,3)</f>
        <v>54.129</v>
      </c>
      <c r="J17" s="149">
        <f aca="true" t="shared" si="17" ref="J17:J55">D17+F17+H17</f>
        <v>99.9</v>
      </c>
      <c r="K17" s="151">
        <f aca="true" t="shared" si="18" ref="K17:K55">E17+G17+I17</f>
        <v>100</v>
      </c>
      <c r="L17" s="145">
        <v>994</v>
      </c>
      <c r="M17" s="145">
        <v>2122</v>
      </c>
      <c r="N17" s="145">
        <v>3677</v>
      </c>
      <c r="O17" s="145">
        <v>6793</v>
      </c>
      <c r="P17" s="153">
        <v>13700</v>
      </c>
      <c r="Q17" s="153">
        <v>13411</v>
      </c>
      <c r="R17" s="154">
        <v>42.97</v>
      </c>
    </row>
    <row r="18" spans="1:18" ht="13.5">
      <c r="A18" s="143">
        <v>15</v>
      </c>
      <c r="B18" s="152" t="s">
        <v>12</v>
      </c>
      <c r="C18" s="148">
        <f t="shared" si="10"/>
        <v>5487</v>
      </c>
      <c r="D18" s="149">
        <f t="shared" si="11"/>
        <v>19.3</v>
      </c>
      <c r="E18" s="150">
        <f t="shared" si="12"/>
        <v>19.318</v>
      </c>
      <c r="F18" s="149">
        <f t="shared" si="13"/>
        <v>28.8</v>
      </c>
      <c r="G18" s="150">
        <f t="shared" si="14"/>
        <v>28.777</v>
      </c>
      <c r="H18" s="149">
        <f t="shared" si="15"/>
        <v>51.9</v>
      </c>
      <c r="I18" s="150">
        <f t="shared" si="16"/>
        <v>51.905</v>
      </c>
      <c r="J18" s="149">
        <f t="shared" si="17"/>
        <v>100</v>
      </c>
      <c r="K18" s="151">
        <f t="shared" si="18"/>
        <v>100</v>
      </c>
      <c r="L18" s="145">
        <v>1060</v>
      </c>
      <c r="M18" s="145">
        <v>1579</v>
      </c>
      <c r="N18" s="145">
        <v>2848</v>
      </c>
      <c r="O18" s="145">
        <v>5487</v>
      </c>
      <c r="P18" s="153">
        <v>11198</v>
      </c>
      <c r="Q18" s="153">
        <v>10692</v>
      </c>
      <c r="R18" s="154">
        <v>37.9</v>
      </c>
    </row>
    <row r="19" spans="1:18" ht="13.5">
      <c r="A19" s="143">
        <v>16</v>
      </c>
      <c r="B19" s="152" t="s">
        <v>17</v>
      </c>
      <c r="C19" s="148">
        <f t="shared" si="10"/>
        <v>8248</v>
      </c>
      <c r="D19" s="149">
        <f t="shared" si="11"/>
        <v>12.3</v>
      </c>
      <c r="E19" s="150">
        <f t="shared" si="12"/>
        <v>12.306</v>
      </c>
      <c r="F19" s="149">
        <f t="shared" si="13"/>
        <v>42.8</v>
      </c>
      <c r="G19" s="150">
        <f t="shared" si="14"/>
        <v>42.823</v>
      </c>
      <c r="H19" s="149">
        <f t="shared" si="15"/>
        <v>44.9</v>
      </c>
      <c r="I19" s="150">
        <f t="shared" si="16"/>
        <v>44.871</v>
      </c>
      <c r="J19" s="149">
        <f t="shared" si="17"/>
        <v>100</v>
      </c>
      <c r="K19" s="151">
        <f t="shared" si="18"/>
        <v>100</v>
      </c>
      <c r="L19" s="145">
        <v>1015</v>
      </c>
      <c r="M19" s="145">
        <v>3532</v>
      </c>
      <c r="N19" s="145">
        <v>3701</v>
      </c>
      <c r="O19" s="145">
        <v>8248</v>
      </c>
      <c r="P19" s="153">
        <v>17751</v>
      </c>
      <c r="Q19" s="153">
        <v>17034</v>
      </c>
      <c r="R19" s="154">
        <v>127.66</v>
      </c>
    </row>
    <row r="20" spans="1:18" ht="13.5">
      <c r="A20" s="143">
        <v>17</v>
      </c>
      <c r="B20" s="152" t="s">
        <v>18</v>
      </c>
      <c r="C20" s="148">
        <f t="shared" si="10"/>
        <v>3181</v>
      </c>
      <c r="D20" s="149">
        <f t="shared" si="11"/>
        <v>8.6</v>
      </c>
      <c r="E20" s="150">
        <f t="shared" si="12"/>
        <v>8.582</v>
      </c>
      <c r="F20" s="149">
        <f t="shared" si="13"/>
        <v>42</v>
      </c>
      <c r="G20" s="150">
        <f t="shared" si="14"/>
        <v>41.999</v>
      </c>
      <c r="H20" s="149">
        <f t="shared" si="15"/>
        <v>49.4</v>
      </c>
      <c r="I20" s="150">
        <f t="shared" si="16"/>
        <v>49.418</v>
      </c>
      <c r="J20" s="149">
        <f t="shared" si="17"/>
        <v>100</v>
      </c>
      <c r="K20" s="151">
        <f t="shared" si="18"/>
        <v>99.999</v>
      </c>
      <c r="L20" s="145">
        <v>273</v>
      </c>
      <c r="M20" s="145">
        <v>1336</v>
      </c>
      <c r="N20" s="145">
        <v>1572</v>
      </c>
      <c r="O20" s="145">
        <v>3181</v>
      </c>
      <c r="P20" s="153">
        <v>6773</v>
      </c>
      <c r="Q20" s="153">
        <v>6488</v>
      </c>
      <c r="R20" s="154">
        <v>21.31</v>
      </c>
    </row>
    <row r="21" spans="1:18" ht="13.5">
      <c r="A21" s="143">
        <v>18</v>
      </c>
      <c r="B21" s="152" t="s">
        <v>19</v>
      </c>
      <c r="C21" s="148">
        <f t="shared" si="10"/>
        <v>4349</v>
      </c>
      <c r="D21" s="149">
        <f t="shared" si="11"/>
        <v>14.2</v>
      </c>
      <c r="E21" s="150">
        <f t="shared" si="12"/>
        <v>14.233</v>
      </c>
      <c r="F21" s="149">
        <f t="shared" si="13"/>
        <v>36.3</v>
      </c>
      <c r="G21" s="150">
        <f t="shared" si="14"/>
        <v>36.33</v>
      </c>
      <c r="H21" s="149">
        <f t="shared" si="15"/>
        <v>49.4</v>
      </c>
      <c r="I21" s="150">
        <f t="shared" si="16"/>
        <v>49.437</v>
      </c>
      <c r="J21" s="149">
        <f t="shared" si="17"/>
        <v>99.9</v>
      </c>
      <c r="K21" s="151">
        <f t="shared" si="18"/>
        <v>100</v>
      </c>
      <c r="L21" s="145">
        <v>619</v>
      </c>
      <c r="M21" s="145">
        <v>1580</v>
      </c>
      <c r="N21" s="145">
        <v>2150</v>
      </c>
      <c r="O21" s="145">
        <v>4349</v>
      </c>
      <c r="P21" s="153">
        <v>8407</v>
      </c>
      <c r="Q21" s="153">
        <v>8464</v>
      </c>
      <c r="R21" s="154">
        <v>79.46</v>
      </c>
    </row>
    <row r="22" spans="1:18" ht="13.5">
      <c r="A22" s="143">
        <v>19</v>
      </c>
      <c r="B22" s="152" t="s">
        <v>20</v>
      </c>
      <c r="C22" s="148">
        <f t="shared" si="10"/>
        <v>6493</v>
      </c>
      <c r="D22" s="149">
        <f t="shared" si="11"/>
        <v>12.7</v>
      </c>
      <c r="E22" s="150">
        <f t="shared" si="12"/>
        <v>12.721</v>
      </c>
      <c r="F22" s="149">
        <f t="shared" si="13"/>
        <v>38</v>
      </c>
      <c r="G22" s="150">
        <f t="shared" si="14"/>
        <v>37.979</v>
      </c>
      <c r="H22" s="149">
        <f t="shared" si="15"/>
        <v>49.3</v>
      </c>
      <c r="I22" s="150">
        <f t="shared" si="16"/>
        <v>49.299</v>
      </c>
      <c r="J22" s="149">
        <f t="shared" si="17"/>
        <v>100</v>
      </c>
      <c r="K22" s="151">
        <f t="shared" si="18"/>
        <v>99.999</v>
      </c>
      <c r="L22" s="145">
        <v>826</v>
      </c>
      <c r="M22" s="145">
        <v>2466</v>
      </c>
      <c r="N22" s="145">
        <v>3201</v>
      </c>
      <c r="O22" s="145">
        <v>6493</v>
      </c>
      <c r="P22" s="153">
        <v>12743</v>
      </c>
      <c r="Q22" s="153">
        <v>12746</v>
      </c>
      <c r="R22" s="154">
        <v>31.25</v>
      </c>
    </row>
    <row r="23" spans="1:18" ht="13.5">
      <c r="A23" s="143">
        <v>20</v>
      </c>
      <c r="B23" s="152" t="s">
        <v>21</v>
      </c>
      <c r="C23" s="148">
        <f t="shared" si="10"/>
        <v>3217</v>
      </c>
      <c r="D23" s="149">
        <f t="shared" si="11"/>
        <v>13.6</v>
      </c>
      <c r="E23" s="150">
        <f t="shared" si="12"/>
        <v>13.646</v>
      </c>
      <c r="F23" s="149">
        <f t="shared" si="13"/>
        <v>39</v>
      </c>
      <c r="G23" s="150">
        <f t="shared" si="14"/>
        <v>38.98</v>
      </c>
      <c r="H23" s="149">
        <f t="shared" si="15"/>
        <v>47.4</v>
      </c>
      <c r="I23" s="150">
        <f t="shared" si="16"/>
        <v>47.373</v>
      </c>
      <c r="J23" s="149">
        <f t="shared" si="17"/>
        <v>100</v>
      </c>
      <c r="K23" s="151">
        <f t="shared" si="18"/>
        <v>99.999</v>
      </c>
      <c r="L23" s="145">
        <v>439</v>
      </c>
      <c r="M23" s="145">
        <v>1254</v>
      </c>
      <c r="N23" s="145">
        <v>1524</v>
      </c>
      <c r="O23" s="145">
        <v>3217</v>
      </c>
      <c r="P23" s="153">
        <v>6889</v>
      </c>
      <c r="Q23" s="153">
        <v>6486</v>
      </c>
      <c r="R23" s="154">
        <v>225.56</v>
      </c>
    </row>
    <row r="24" spans="1:18" ht="13.5">
      <c r="A24" s="143">
        <v>21</v>
      </c>
      <c r="B24" s="152" t="s">
        <v>23</v>
      </c>
      <c r="C24" s="148">
        <f t="shared" si="10"/>
        <v>3576</v>
      </c>
      <c r="D24" s="149">
        <f t="shared" si="11"/>
        <v>17.8</v>
      </c>
      <c r="E24" s="150">
        <f t="shared" si="12"/>
        <v>17.785</v>
      </c>
      <c r="F24" s="149">
        <f t="shared" si="13"/>
        <v>34.1</v>
      </c>
      <c r="G24" s="150">
        <f t="shared" si="14"/>
        <v>34.144</v>
      </c>
      <c r="H24" s="149">
        <f t="shared" si="15"/>
        <v>48.1</v>
      </c>
      <c r="I24" s="150">
        <f t="shared" si="16"/>
        <v>48.07</v>
      </c>
      <c r="J24" s="149">
        <f t="shared" si="17"/>
        <v>100</v>
      </c>
      <c r="K24" s="151">
        <f t="shared" si="18"/>
        <v>99.999</v>
      </c>
      <c r="L24" s="145">
        <v>636</v>
      </c>
      <c r="M24" s="145">
        <v>1221</v>
      </c>
      <c r="N24" s="145">
        <v>1719</v>
      </c>
      <c r="O24" s="145">
        <v>3576</v>
      </c>
      <c r="P24" s="153">
        <v>7579</v>
      </c>
      <c r="Q24" s="153">
        <v>7053</v>
      </c>
      <c r="R24" s="154">
        <v>317.09</v>
      </c>
    </row>
    <row r="25" spans="1:18" ht="13.5">
      <c r="A25" s="143">
        <v>22</v>
      </c>
      <c r="B25" s="152" t="s">
        <v>25</v>
      </c>
      <c r="C25" s="148">
        <f t="shared" si="10"/>
        <v>416</v>
      </c>
      <c r="D25" s="149">
        <f t="shared" si="11"/>
        <v>1.7</v>
      </c>
      <c r="E25" s="150">
        <f t="shared" si="12"/>
        <v>1.683</v>
      </c>
      <c r="F25" s="149">
        <f t="shared" si="13"/>
        <v>5.3</v>
      </c>
      <c r="G25" s="150">
        <f t="shared" si="14"/>
        <v>5.288</v>
      </c>
      <c r="H25" s="149">
        <f t="shared" si="15"/>
        <v>93</v>
      </c>
      <c r="I25" s="150">
        <f t="shared" si="16"/>
        <v>93.029</v>
      </c>
      <c r="J25" s="149">
        <f t="shared" si="17"/>
        <v>100</v>
      </c>
      <c r="K25" s="151">
        <f t="shared" si="18"/>
        <v>100</v>
      </c>
      <c r="L25" s="145">
        <v>7</v>
      </c>
      <c r="M25" s="145">
        <v>22</v>
      </c>
      <c r="N25" s="145">
        <v>387</v>
      </c>
      <c r="O25" s="145">
        <v>416</v>
      </c>
      <c r="P25" s="153">
        <v>757</v>
      </c>
      <c r="Q25" s="153">
        <v>706</v>
      </c>
      <c r="R25" s="154">
        <v>390.5</v>
      </c>
    </row>
    <row r="26" spans="1:18" ht="13.5">
      <c r="A26" s="143">
        <v>23</v>
      </c>
      <c r="B26" s="152" t="s">
        <v>28</v>
      </c>
      <c r="C26" s="148">
        <f t="shared" si="10"/>
        <v>2712</v>
      </c>
      <c r="D26" s="149">
        <f t="shared" si="11"/>
        <v>20.8</v>
      </c>
      <c r="E26" s="150">
        <f t="shared" si="12"/>
        <v>20.796</v>
      </c>
      <c r="F26" s="149">
        <f t="shared" si="13"/>
        <v>35.1</v>
      </c>
      <c r="G26" s="150">
        <f t="shared" si="14"/>
        <v>35.14</v>
      </c>
      <c r="H26" s="149">
        <f t="shared" si="15"/>
        <v>44.1</v>
      </c>
      <c r="I26" s="150">
        <f t="shared" si="16"/>
        <v>44.063</v>
      </c>
      <c r="J26" s="149">
        <f t="shared" si="17"/>
        <v>100</v>
      </c>
      <c r="K26" s="151">
        <f t="shared" si="18"/>
        <v>99.999</v>
      </c>
      <c r="L26" s="145">
        <v>564</v>
      </c>
      <c r="M26" s="145">
        <v>953</v>
      </c>
      <c r="N26" s="145">
        <v>1195</v>
      </c>
      <c r="O26" s="145">
        <v>2712</v>
      </c>
      <c r="P26" s="153">
        <v>5557</v>
      </c>
      <c r="Q26" s="153">
        <v>5284</v>
      </c>
      <c r="R26" s="154">
        <v>747.53</v>
      </c>
    </row>
    <row r="27" spans="1:18" ht="13.5">
      <c r="A27" s="143">
        <v>24</v>
      </c>
      <c r="B27" s="152" t="s">
        <v>266</v>
      </c>
      <c r="C27" s="148">
        <f>O27</f>
        <v>10009</v>
      </c>
      <c r="D27" s="149">
        <f>ROUND(L27/C27*100,1)</f>
        <v>15.8</v>
      </c>
      <c r="E27" s="150">
        <f>ROUND(L27/C27*100,3)</f>
        <v>15.826</v>
      </c>
      <c r="F27" s="149">
        <f>ROUND(M27/C27*100,1)</f>
        <v>31.5</v>
      </c>
      <c r="G27" s="150">
        <f>ROUND(M27/C27*100,3)</f>
        <v>31.452</v>
      </c>
      <c r="H27" s="149">
        <f>ROUND(N27/C27*100,1)</f>
        <v>52.7</v>
      </c>
      <c r="I27" s="150">
        <f>ROUND(N27/C27*100,3)</f>
        <v>52.723</v>
      </c>
      <c r="J27" s="149">
        <f>D27+F27+H27</f>
        <v>100</v>
      </c>
      <c r="K27" s="151">
        <f>E27+G27+I27</f>
        <v>100.001</v>
      </c>
      <c r="L27" s="153">
        <v>1584</v>
      </c>
      <c r="M27" s="153">
        <v>3148</v>
      </c>
      <c r="N27" s="153">
        <v>5277</v>
      </c>
      <c r="O27" s="153">
        <f>O108</f>
        <v>10009</v>
      </c>
      <c r="P27" s="153">
        <f>P108</f>
        <v>21095</v>
      </c>
      <c r="Q27" s="153">
        <v>19870</v>
      </c>
      <c r="R27" s="154">
        <v>886.52</v>
      </c>
    </row>
    <row r="28" spans="1:18" ht="13.5">
      <c r="A28" s="143">
        <v>25</v>
      </c>
      <c r="B28" s="152" t="s">
        <v>29</v>
      </c>
      <c r="C28" s="148">
        <f t="shared" si="10"/>
        <v>1852</v>
      </c>
      <c r="D28" s="149">
        <f t="shared" si="11"/>
        <v>14.6</v>
      </c>
      <c r="E28" s="150">
        <f t="shared" si="12"/>
        <v>14.633</v>
      </c>
      <c r="F28" s="149">
        <f t="shared" si="13"/>
        <v>22</v>
      </c>
      <c r="G28" s="150">
        <f t="shared" si="14"/>
        <v>21.976</v>
      </c>
      <c r="H28" s="149">
        <f t="shared" si="15"/>
        <v>63.4</v>
      </c>
      <c r="I28" s="150">
        <f t="shared" si="16"/>
        <v>63.391</v>
      </c>
      <c r="J28" s="149">
        <f t="shared" si="17"/>
        <v>100</v>
      </c>
      <c r="K28" s="151">
        <f t="shared" si="18"/>
        <v>100</v>
      </c>
      <c r="L28" s="145">
        <v>271</v>
      </c>
      <c r="M28" s="145">
        <v>407</v>
      </c>
      <c r="N28" s="145">
        <v>1174</v>
      </c>
      <c r="O28" s="145">
        <v>1852</v>
      </c>
      <c r="P28" s="153">
        <v>3644</v>
      </c>
      <c r="Q28" s="153">
        <v>3475</v>
      </c>
      <c r="R28" s="154">
        <v>233.94</v>
      </c>
    </row>
    <row r="29" spans="1:18" ht="13.5">
      <c r="A29" s="143">
        <v>26</v>
      </c>
      <c r="B29" s="152" t="s">
        <v>30</v>
      </c>
      <c r="C29" s="148">
        <f t="shared" si="10"/>
        <v>4030</v>
      </c>
      <c r="D29" s="149">
        <f t="shared" si="11"/>
        <v>22.4</v>
      </c>
      <c r="E29" s="150">
        <f t="shared" si="12"/>
        <v>22.432</v>
      </c>
      <c r="F29" s="149">
        <f t="shared" si="13"/>
        <v>35.4</v>
      </c>
      <c r="G29" s="150">
        <f t="shared" si="14"/>
        <v>35.409</v>
      </c>
      <c r="H29" s="149">
        <f t="shared" si="15"/>
        <v>42.2</v>
      </c>
      <c r="I29" s="150">
        <f t="shared" si="16"/>
        <v>42.159</v>
      </c>
      <c r="J29" s="149">
        <f t="shared" si="17"/>
        <v>100</v>
      </c>
      <c r="K29" s="151">
        <f t="shared" si="18"/>
        <v>100</v>
      </c>
      <c r="L29" s="145">
        <v>904</v>
      </c>
      <c r="M29" s="145">
        <v>1427</v>
      </c>
      <c r="N29" s="145">
        <v>1699</v>
      </c>
      <c r="O29" s="145">
        <v>4030</v>
      </c>
      <c r="P29" s="153">
        <v>9075</v>
      </c>
      <c r="Q29" s="153">
        <v>8237</v>
      </c>
      <c r="R29" s="154">
        <v>298.13</v>
      </c>
    </row>
    <row r="30" spans="1:18" ht="13.5">
      <c r="A30" s="143">
        <v>27</v>
      </c>
      <c r="B30" s="152" t="s">
        <v>31</v>
      </c>
      <c r="C30" s="148">
        <f t="shared" si="10"/>
        <v>1970</v>
      </c>
      <c r="D30" s="149">
        <f t="shared" si="11"/>
        <v>18.2</v>
      </c>
      <c r="E30" s="150">
        <f t="shared" si="12"/>
        <v>18.173</v>
      </c>
      <c r="F30" s="149">
        <f t="shared" si="13"/>
        <v>28.6</v>
      </c>
      <c r="G30" s="150">
        <f t="shared" si="14"/>
        <v>28.579</v>
      </c>
      <c r="H30" s="149">
        <f t="shared" si="15"/>
        <v>53.2</v>
      </c>
      <c r="I30" s="150">
        <f t="shared" si="16"/>
        <v>53.249</v>
      </c>
      <c r="J30" s="149">
        <f t="shared" si="17"/>
        <v>100</v>
      </c>
      <c r="K30" s="151">
        <f t="shared" si="18"/>
        <v>100.001</v>
      </c>
      <c r="L30" s="145">
        <v>358</v>
      </c>
      <c r="M30" s="145">
        <v>563</v>
      </c>
      <c r="N30" s="145">
        <v>1049</v>
      </c>
      <c r="O30" s="145">
        <v>1970</v>
      </c>
      <c r="P30" s="153">
        <v>4109</v>
      </c>
      <c r="Q30" s="153">
        <v>3951</v>
      </c>
      <c r="R30" s="154">
        <v>59.69</v>
      </c>
    </row>
    <row r="31" spans="1:18" ht="13.5">
      <c r="A31" s="143">
        <v>28</v>
      </c>
      <c r="B31" s="152" t="s">
        <v>32</v>
      </c>
      <c r="C31" s="148">
        <f t="shared" si="10"/>
        <v>8417</v>
      </c>
      <c r="D31" s="149">
        <f t="shared" si="11"/>
        <v>13.4</v>
      </c>
      <c r="E31" s="150">
        <f t="shared" si="12"/>
        <v>13.437</v>
      </c>
      <c r="F31" s="149">
        <f t="shared" si="13"/>
        <v>20.5</v>
      </c>
      <c r="G31" s="150">
        <f t="shared" si="14"/>
        <v>20.47</v>
      </c>
      <c r="H31" s="149">
        <f t="shared" si="15"/>
        <v>66.1</v>
      </c>
      <c r="I31" s="150">
        <f t="shared" si="16"/>
        <v>66.092</v>
      </c>
      <c r="J31" s="149">
        <f t="shared" si="17"/>
        <v>100</v>
      </c>
      <c r="K31" s="151">
        <f t="shared" si="18"/>
        <v>99.999</v>
      </c>
      <c r="L31" s="145">
        <v>1131</v>
      </c>
      <c r="M31" s="145">
        <v>1723</v>
      </c>
      <c r="N31" s="145">
        <v>5563</v>
      </c>
      <c r="O31" s="145">
        <v>8417</v>
      </c>
      <c r="P31" s="153">
        <v>18178</v>
      </c>
      <c r="Q31" s="153">
        <v>17009</v>
      </c>
      <c r="R31" s="154">
        <v>395</v>
      </c>
    </row>
    <row r="32" spans="1:18" ht="13.5">
      <c r="A32" s="143">
        <v>29</v>
      </c>
      <c r="B32" s="152" t="s">
        <v>33</v>
      </c>
      <c r="C32" s="148">
        <f t="shared" si="10"/>
        <v>9209</v>
      </c>
      <c r="D32" s="149">
        <f t="shared" si="11"/>
        <v>16.7</v>
      </c>
      <c r="E32" s="150">
        <f t="shared" si="12"/>
        <v>16.744</v>
      </c>
      <c r="F32" s="149">
        <f t="shared" si="13"/>
        <v>28.1</v>
      </c>
      <c r="G32" s="150">
        <f t="shared" si="14"/>
        <v>28.06</v>
      </c>
      <c r="H32" s="149">
        <f t="shared" si="15"/>
        <v>55.2</v>
      </c>
      <c r="I32" s="150">
        <f t="shared" si="16"/>
        <v>55.196</v>
      </c>
      <c r="J32" s="149">
        <f t="shared" si="17"/>
        <v>100</v>
      </c>
      <c r="K32" s="151">
        <f t="shared" si="18"/>
        <v>100</v>
      </c>
      <c r="L32" s="145">
        <v>1542</v>
      </c>
      <c r="M32" s="145">
        <v>2584</v>
      </c>
      <c r="N32" s="145">
        <v>5083</v>
      </c>
      <c r="O32" s="145">
        <v>9209</v>
      </c>
      <c r="P32" s="153">
        <v>19426</v>
      </c>
      <c r="Q32" s="153">
        <v>18274</v>
      </c>
      <c r="R32" s="154">
        <v>91.65</v>
      </c>
    </row>
    <row r="33" spans="1:18" ht="13.5">
      <c r="A33" s="143">
        <v>30</v>
      </c>
      <c r="B33" s="152" t="s">
        <v>34</v>
      </c>
      <c r="C33" s="148">
        <f t="shared" si="10"/>
        <v>1884</v>
      </c>
      <c r="D33" s="149">
        <f t="shared" si="11"/>
        <v>26.4</v>
      </c>
      <c r="E33" s="150">
        <f t="shared" si="12"/>
        <v>26.433</v>
      </c>
      <c r="F33" s="149">
        <f t="shared" si="13"/>
        <v>24.4</v>
      </c>
      <c r="G33" s="150">
        <f t="shared" si="14"/>
        <v>24.363</v>
      </c>
      <c r="H33" s="149">
        <f t="shared" si="15"/>
        <v>49.2</v>
      </c>
      <c r="I33" s="150">
        <f t="shared" si="16"/>
        <v>49.204</v>
      </c>
      <c r="J33" s="149">
        <f t="shared" si="17"/>
        <v>100</v>
      </c>
      <c r="K33" s="151">
        <f t="shared" si="18"/>
        <v>100</v>
      </c>
      <c r="L33" s="145">
        <v>498</v>
      </c>
      <c r="M33" s="145">
        <v>459</v>
      </c>
      <c r="N33" s="145">
        <v>927</v>
      </c>
      <c r="O33" s="145">
        <v>1884</v>
      </c>
      <c r="P33" s="153">
        <v>3601</v>
      </c>
      <c r="Q33" s="153">
        <v>3570</v>
      </c>
      <c r="R33" s="154">
        <v>16.36</v>
      </c>
    </row>
    <row r="34" spans="1:18" ht="13.5">
      <c r="A34" s="143">
        <v>31</v>
      </c>
      <c r="B34" s="152" t="s">
        <v>35</v>
      </c>
      <c r="C34" s="148">
        <f t="shared" si="10"/>
        <v>2201</v>
      </c>
      <c r="D34" s="149">
        <f t="shared" si="11"/>
        <v>23.9</v>
      </c>
      <c r="E34" s="150">
        <f t="shared" si="12"/>
        <v>23.853</v>
      </c>
      <c r="F34" s="149">
        <f t="shared" si="13"/>
        <v>29.9</v>
      </c>
      <c r="G34" s="150">
        <f t="shared" si="14"/>
        <v>29.941</v>
      </c>
      <c r="H34" s="149">
        <f t="shared" si="15"/>
        <v>46.2</v>
      </c>
      <c r="I34" s="150">
        <f t="shared" si="16"/>
        <v>46.206</v>
      </c>
      <c r="J34" s="149">
        <f t="shared" si="17"/>
        <v>100</v>
      </c>
      <c r="K34" s="151">
        <f t="shared" si="18"/>
        <v>100</v>
      </c>
      <c r="L34" s="145">
        <v>525</v>
      </c>
      <c r="M34" s="145">
        <v>659</v>
      </c>
      <c r="N34" s="145">
        <v>1017</v>
      </c>
      <c r="O34" s="145">
        <v>2201</v>
      </c>
      <c r="P34" s="153">
        <v>4669</v>
      </c>
      <c r="Q34" s="153">
        <v>4260</v>
      </c>
      <c r="R34" s="154">
        <v>176.07</v>
      </c>
    </row>
    <row r="35" spans="1:18" ht="13.5">
      <c r="A35" s="143">
        <v>32</v>
      </c>
      <c r="B35" s="152" t="s">
        <v>36</v>
      </c>
      <c r="C35" s="148">
        <f t="shared" si="10"/>
        <v>997</v>
      </c>
      <c r="D35" s="149">
        <f t="shared" si="11"/>
        <v>14.9</v>
      </c>
      <c r="E35" s="150">
        <f t="shared" si="12"/>
        <v>14.945</v>
      </c>
      <c r="F35" s="149">
        <f t="shared" si="13"/>
        <v>32</v>
      </c>
      <c r="G35" s="150">
        <f t="shared" si="14"/>
        <v>31.996</v>
      </c>
      <c r="H35" s="149">
        <f t="shared" si="15"/>
        <v>53.1</v>
      </c>
      <c r="I35" s="150">
        <f t="shared" si="16"/>
        <v>53.059</v>
      </c>
      <c r="J35" s="149">
        <f t="shared" si="17"/>
        <v>100</v>
      </c>
      <c r="K35" s="151">
        <f t="shared" si="18"/>
        <v>100</v>
      </c>
      <c r="L35" s="145">
        <v>149</v>
      </c>
      <c r="M35" s="145">
        <v>319</v>
      </c>
      <c r="N35" s="145">
        <v>529</v>
      </c>
      <c r="O35" s="145">
        <v>997</v>
      </c>
      <c r="P35" s="153">
        <v>2474</v>
      </c>
      <c r="Q35" s="153">
        <v>2250</v>
      </c>
      <c r="R35" s="154">
        <v>90.83</v>
      </c>
    </row>
    <row r="36" spans="1:18" ht="13.5">
      <c r="A36" s="143">
        <v>33</v>
      </c>
      <c r="B36" s="152" t="s">
        <v>37</v>
      </c>
      <c r="C36" s="148">
        <f t="shared" si="10"/>
        <v>1110</v>
      </c>
      <c r="D36" s="149">
        <f t="shared" si="11"/>
        <v>14.1</v>
      </c>
      <c r="E36" s="150">
        <f t="shared" si="12"/>
        <v>14.054</v>
      </c>
      <c r="F36" s="149">
        <f t="shared" si="13"/>
        <v>30.5</v>
      </c>
      <c r="G36" s="150">
        <f t="shared" si="14"/>
        <v>30.45</v>
      </c>
      <c r="H36" s="149">
        <f t="shared" si="15"/>
        <v>55.5</v>
      </c>
      <c r="I36" s="150">
        <f t="shared" si="16"/>
        <v>55.495</v>
      </c>
      <c r="J36" s="149">
        <f>D36+F36+H36</f>
        <v>100.1</v>
      </c>
      <c r="K36" s="151">
        <f t="shared" si="18"/>
        <v>99.999</v>
      </c>
      <c r="L36" s="145">
        <v>156</v>
      </c>
      <c r="M36" s="145">
        <v>338</v>
      </c>
      <c r="N36" s="145">
        <v>616</v>
      </c>
      <c r="O36" s="145">
        <v>1110</v>
      </c>
      <c r="P36" s="153">
        <v>3204</v>
      </c>
      <c r="Q36" s="153">
        <v>2834</v>
      </c>
      <c r="R36" s="154">
        <v>293.97</v>
      </c>
    </row>
    <row r="37" spans="1:18" ht="13.5">
      <c r="A37" s="143">
        <v>34</v>
      </c>
      <c r="B37" s="152" t="s">
        <v>38</v>
      </c>
      <c r="C37" s="148">
        <f t="shared" si="10"/>
        <v>782</v>
      </c>
      <c r="D37" s="149">
        <f t="shared" si="11"/>
        <v>43.2</v>
      </c>
      <c r="E37" s="150">
        <f t="shared" si="12"/>
        <v>43.223</v>
      </c>
      <c r="F37" s="149">
        <f t="shared" si="13"/>
        <v>18.9</v>
      </c>
      <c r="G37" s="150">
        <f t="shared" si="14"/>
        <v>18.926</v>
      </c>
      <c r="H37" s="149">
        <f t="shared" si="15"/>
        <v>37.9</v>
      </c>
      <c r="I37" s="150">
        <f t="shared" si="16"/>
        <v>37.852</v>
      </c>
      <c r="J37" s="149">
        <f t="shared" si="17"/>
        <v>100</v>
      </c>
      <c r="K37" s="151">
        <f t="shared" si="18"/>
        <v>100.001</v>
      </c>
      <c r="L37" s="145">
        <v>338</v>
      </c>
      <c r="M37" s="145">
        <v>148</v>
      </c>
      <c r="N37" s="145">
        <v>296</v>
      </c>
      <c r="O37" s="145">
        <v>782</v>
      </c>
      <c r="P37" s="153">
        <v>1874</v>
      </c>
      <c r="Q37" s="153">
        <v>1632</v>
      </c>
      <c r="R37" s="154">
        <v>209.34</v>
      </c>
    </row>
    <row r="38" spans="1:18" ht="13.5">
      <c r="A38" s="143">
        <v>35</v>
      </c>
      <c r="B38" s="152" t="s">
        <v>238</v>
      </c>
      <c r="C38" s="148">
        <f t="shared" si="10"/>
        <v>12244</v>
      </c>
      <c r="D38" s="149">
        <f t="shared" si="11"/>
        <v>19.2</v>
      </c>
      <c r="E38" s="150">
        <f t="shared" si="12"/>
        <v>19.218</v>
      </c>
      <c r="F38" s="149">
        <f t="shared" si="13"/>
        <v>28.6</v>
      </c>
      <c r="G38" s="150">
        <f t="shared" si="14"/>
        <v>28.569</v>
      </c>
      <c r="H38" s="149">
        <f t="shared" si="15"/>
        <v>52.2</v>
      </c>
      <c r="I38" s="150">
        <f t="shared" si="16"/>
        <v>52.213</v>
      </c>
      <c r="J38" s="149">
        <f t="shared" si="17"/>
        <v>100</v>
      </c>
      <c r="K38" s="151">
        <f t="shared" si="18"/>
        <v>100</v>
      </c>
      <c r="L38" s="145">
        <v>2353</v>
      </c>
      <c r="M38" s="145">
        <v>3498</v>
      </c>
      <c r="N38" s="145">
        <v>6393</v>
      </c>
      <c r="O38" s="145">
        <v>12244</v>
      </c>
      <c r="P38" s="153">
        <f>P113</f>
        <v>26172</v>
      </c>
      <c r="Q38" s="153">
        <v>24741</v>
      </c>
      <c r="R38" s="154">
        <v>276.37</v>
      </c>
    </row>
    <row r="39" spans="1:18" ht="13.5">
      <c r="A39" s="143">
        <v>36</v>
      </c>
      <c r="B39" s="152" t="s">
        <v>39</v>
      </c>
      <c r="C39" s="148">
        <f t="shared" si="10"/>
        <v>9757</v>
      </c>
      <c r="D39" s="149">
        <f t="shared" si="11"/>
        <v>7.7</v>
      </c>
      <c r="E39" s="150">
        <f t="shared" si="12"/>
        <v>7.666</v>
      </c>
      <c r="F39" s="149">
        <f t="shared" si="13"/>
        <v>40.5</v>
      </c>
      <c r="G39" s="150">
        <f t="shared" si="14"/>
        <v>40.463</v>
      </c>
      <c r="H39" s="149">
        <f t="shared" si="15"/>
        <v>51.9</v>
      </c>
      <c r="I39" s="150">
        <f t="shared" si="16"/>
        <v>51.87</v>
      </c>
      <c r="J39" s="149">
        <f t="shared" si="17"/>
        <v>100.1</v>
      </c>
      <c r="K39" s="151">
        <f t="shared" si="18"/>
        <v>99.999</v>
      </c>
      <c r="L39" s="145">
        <v>748</v>
      </c>
      <c r="M39" s="145">
        <v>3948</v>
      </c>
      <c r="N39" s="145">
        <v>5061</v>
      </c>
      <c r="O39" s="145">
        <v>9757</v>
      </c>
      <c r="P39" s="153">
        <v>18642</v>
      </c>
      <c r="Q39" s="153">
        <v>19494</v>
      </c>
      <c r="R39" s="154">
        <v>192.32</v>
      </c>
    </row>
    <row r="40" spans="1:18" ht="13.5">
      <c r="A40" s="143">
        <v>37</v>
      </c>
      <c r="B40" s="152" t="s">
        <v>40</v>
      </c>
      <c r="C40" s="148">
        <f t="shared" si="10"/>
        <v>3497</v>
      </c>
      <c r="D40" s="149">
        <f t="shared" si="11"/>
        <v>15.4</v>
      </c>
      <c r="E40" s="150">
        <f t="shared" si="12"/>
        <v>15.442</v>
      </c>
      <c r="F40" s="149">
        <f t="shared" si="13"/>
        <v>40.5</v>
      </c>
      <c r="G40" s="150">
        <f t="shared" si="14"/>
        <v>40.492</v>
      </c>
      <c r="H40" s="149">
        <f t="shared" si="15"/>
        <v>44.1</v>
      </c>
      <c r="I40" s="150">
        <f t="shared" si="16"/>
        <v>44.066</v>
      </c>
      <c r="J40" s="149">
        <f t="shared" si="17"/>
        <v>100</v>
      </c>
      <c r="K40" s="151">
        <f t="shared" si="18"/>
        <v>100</v>
      </c>
      <c r="L40" s="145">
        <v>540</v>
      </c>
      <c r="M40" s="145">
        <v>1416</v>
      </c>
      <c r="N40" s="145">
        <v>1541</v>
      </c>
      <c r="O40" s="145">
        <v>3497</v>
      </c>
      <c r="P40" s="153">
        <v>6823</v>
      </c>
      <c r="Q40" s="153">
        <v>6761</v>
      </c>
      <c r="R40" s="154">
        <v>35.4</v>
      </c>
    </row>
    <row r="41" spans="1:18" ht="13.5">
      <c r="A41" s="143">
        <v>38</v>
      </c>
      <c r="B41" s="152" t="s">
        <v>41</v>
      </c>
      <c r="C41" s="148">
        <f t="shared" si="10"/>
        <v>2637</v>
      </c>
      <c r="D41" s="149">
        <f t="shared" si="11"/>
        <v>19.1</v>
      </c>
      <c r="E41" s="150">
        <f t="shared" si="12"/>
        <v>19.113</v>
      </c>
      <c r="F41" s="149">
        <f t="shared" si="13"/>
        <v>40.4</v>
      </c>
      <c r="G41" s="150">
        <f t="shared" si="14"/>
        <v>40.387</v>
      </c>
      <c r="H41" s="149">
        <f t="shared" si="15"/>
        <v>40.5</v>
      </c>
      <c r="I41" s="150">
        <f t="shared" si="16"/>
        <v>40.501</v>
      </c>
      <c r="J41" s="149">
        <f t="shared" si="17"/>
        <v>100</v>
      </c>
      <c r="K41" s="151">
        <f t="shared" si="18"/>
        <v>100.001</v>
      </c>
      <c r="L41" s="145">
        <v>504</v>
      </c>
      <c r="M41" s="145">
        <v>1065</v>
      </c>
      <c r="N41" s="145">
        <v>1068</v>
      </c>
      <c r="O41" s="145">
        <v>2637</v>
      </c>
      <c r="P41" s="153">
        <v>5274</v>
      </c>
      <c r="Q41" s="153">
        <v>5174</v>
      </c>
      <c r="R41" s="154">
        <v>18.91</v>
      </c>
    </row>
    <row r="42" spans="1:18" ht="13.5">
      <c r="A42" s="143">
        <v>39</v>
      </c>
      <c r="B42" s="152" t="s">
        <v>42</v>
      </c>
      <c r="C42" s="148">
        <f t="shared" si="10"/>
        <v>9183</v>
      </c>
      <c r="D42" s="149">
        <f t="shared" si="11"/>
        <v>13.7</v>
      </c>
      <c r="E42" s="150">
        <f t="shared" si="12"/>
        <v>13.699</v>
      </c>
      <c r="F42" s="149">
        <f t="shared" si="13"/>
        <v>37.9</v>
      </c>
      <c r="G42" s="150">
        <f t="shared" si="14"/>
        <v>37.94</v>
      </c>
      <c r="H42" s="149">
        <f t="shared" si="15"/>
        <v>48.4</v>
      </c>
      <c r="I42" s="150">
        <f t="shared" si="16"/>
        <v>48.361</v>
      </c>
      <c r="J42" s="149">
        <f t="shared" si="17"/>
        <v>100</v>
      </c>
      <c r="K42" s="151">
        <f t="shared" si="18"/>
        <v>100</v>
      </c>
      <c r="L42" s="145">
        <v>1258</v>
      </c>
      <c r="M42" s="145">
        <v>3484</v>
      </c>
      <c r="N42" s="145">
        <v>4441</v>
      </c>
      <c r="O42" s="145">
        <v>9183</v>
      </c>
      <c r="P42" s="153">
        <v>18892</v>
      </c>
      <c r="Q42" s="153">
        <v>18735</v>
      </c>
      <c r="R42" s="154">
        <v>60.37</v>
      </c>
    </row>
    <row r="43" spans="1:18" ht="13.5">
      <c r="A43" s="143">
        <v>40</v>
      </c>
      <c r="B43" s="152" t="s">
        <v>43</v>
      </c>
      <c r="C43" s="148">
        <f t="shared" si="10"/>
        <v>8004</v>
      </c>
      <c r="D43" s="149">
        <f t="shared" si="11"/>
        <v>9.3</v>
      </c>
      <c r="E43" s="150">
        <f t="shared" si="12"/>
        <v>9.295</v>
      </c>
      <c r="F43" s="149">
        <f t="shared" si="13"/>
        <v>44.1</v>
      </c>
      <c r="G43" s="150">
        <f t="shared" si="14"/>
        <v>44.103</v>
      </c>
      <c r="H43" s="149">
        <f t="shared" si="15"/>
        <v>46.6</v>
      </c>
      <c r="I43" s="150">
        <f t="shared" si="16"/>
        <v>46.602</v>
      </c>
      <c r="J43" s="149">
        <f t="shared" si="17"/>
        <v>100</v>
      </c>
      <c r="K43" s="151">
        <f t="shared" si="18"/>
        <v>100</v>
      </c>
      <c r="L43" s="145">
        <v>744</v>
      </c>
      <c r="M43" s="145">
        <v>3530</v>
      </c>
      <c r="N43" s="145">
        <v>3730</v>
      </c>
      <c r="O43" s="145">
        <v>8004</v>
      </c>
      <c r="P43" s="153">
        <v>16376</v>
      </c>
      <c r="Q43" s="153">
        <v>15795</v>
      </c>
      <c r="R43" s="154">
        <v>159.82</v>
      </c>
    </row>
    <row r="44" spans="1:18" ht="13.5">
      <c r="A44" s="143">
        <v>41</v>
      </c>
      <c r="B44" s="152" t="s">
        <v>44</v>
      </c>
      <c r="C44" s="148">
        <f t="shared" si="10"/>
        <v>3385</v>
      </c>
      <c r="D44" s="149">
        <f t="shared" si="11"/>
        <v>19.2</v>
      </c>
      <c r="E44" s="150">
        <f t="shared" si="12"/>
        <v>19.202</v>
      </c>
      <c r="F44" s="149">
        <f t="shared" si="13"/>
        <v>43.3</v>
      </c>
      <c r="G44" s="150">
        <f t="shared" si="14"/>
        <v>43.338</v>
      </c>
      <c r="H44" s="149">
        <f t="shared" si="15"/>
        <v>37.5</v>
      </c>
      <c r="I44" s="150">
        <f t="shared" si="16"/>
        <v>37.459</v>
      </c>
      <c r="J44" s="149">
        <f t="shared" si="17"/>
        <v>100</v>
      </c>
      <c r="K44" s="151">
        <f t="shared" si="18"/>
        <v>99.99900000000001</v>
      </c>
      <c r="L44" s="145">
        <v>650</v>
      </c>
      <c r="M44" s="145">
        <v>1467</v>
      </c>
      <c r="N44" s="145">
        <v>1268</v>
      </c>
      <c r="O44" s="145">
        <v>3385</v>
      </c>
      <c r="P44" s="153">
        <v>7062</v>
      </c>
      <c r="Q44" s="153">
        <v>6740</v>
      </c>
      <c r="R44" s="154">
        <v>118.22</v>
      </c>
    </row>
    <row r="45" spans="1:18" ht="13.5">
      <c r="A45" s="143">
        <v>42</v>
      </c>
      <c r="B45" s="152" t="s">
        <v>45</v>
      </c>
      <c r="C45" s="148">
        <f t="shared" si="10"/>
        <v>5504</v>
      </c>
      <c r="D45" s="149">
        <f t="shared" si="11"/>
        <v>20.2</v>
      </c>
      <c r="E45" s="150">
        <f t="shared" si="12"/>
        <v>20.222</v>
      </c>
      <c r="F45" s="149">
        <f t="shared" si="13"/>
        <v>36.8</v>
      </c>
      <c r="G45" s="150">
        <f t="shared" si="14"/>
        <v>36.846</v>
      </c>
      <c r="H45" s="149">
        <f t="shared" si="15"/>
        <v>42.9</v>
      </c>
      <c r="I45" s="150">
        <f t="shared" si="16"/>
        <v>42.932</v>
      </c>
      <c r="J45" s="149">
        <f t="shared" si="17"/>
        <v>99.9</v>
      </c>
      <c r="K45" s="151">
        <f t="shared" si="18"/>
        <v>100</v>
      </c>
      <c r="L45" s="145">
        <v>1113</v>
      </c>
      <c r="M45" s="145">
        <v>2028</v>
      </c>
      <c r="N45" s="145">
        <v>2363</v>
      </c>
      <c r="O45" s="145">
        <v>5504</v>
      </c>
      <c r="P45" s="153">
        <v>11296</v>
      </c>
      <c r="Q45" s="153">
        <v>10619</v>
      </c>
      <c r="R45" s="154">
        <v>211.6</v>
      </c>
    </row>
    <row r="46" spans="1:18" ht="13.5">
      <c r="A46" s="143">
        <v>43</v>
      </c>
      <c r="B46" s="152" t="s">
        <v>46</v>
      </c>
      <c r="C46" s="148">
        <f t="shared" si="10"/>
        <v>2219</v>
      </c>
      <c r="D46" s="149">
        <f t="shared" si="11"/>
        <v>24.8</v>
      </c>
      <c r="E46" s="150">
        <f t="shared" si="12"/>
        <v>24.831</v>
      </c>
      <c r="F46" s="149">
        <f t="shared" si="13"/>
        <v>41</v>
      </c>
      <c r="G46" s="150">
        <f t="shared" si="14"/>
        <v>40.964</v>
      </c>
      <c r="H46" s="149">
        <f t="shared" si="15"/>
        <v>34.2</v>
      </c>
      <c r="I46" s="150">
        <f t="shared" si="16"/>
        <v>34.205</v>
      </c>
      <c r="J46" s="149">
        <f t="shared" si="17"/>
        <v>100</v>
      </c>
      <c r="K46" s="151">
        <f t="shared" si="18"/>
        <v>100</v>
      </c>
      <c r="L46" s="145">
        <v>551</v>
      </c>
      <c r="M46" s="145">
        <v>909</v>
      </c>
      <c r="N46" s="145">
        <v>759</v>
      </c>
      <c r="O46" s="145">
        <v>2219</v>
      </c>
      <c r="P46" s="153">
        <v>4602</v>
      </c>
      <c r="Q46" s="153">
        <v>4322</v>
      </c>
      <c r="R46" s="154">
        <v>131.3</v>
      </c>
    </row>
    <row r="47" spans="1:18" ht="13.5">
      <c r="A47" s="143">
        <v>44</v>
      </c>
      <c r="B47" s="152" t="s">
        <v>47</v>
      </c>
      <c r="C47" s="148">
        <f t="shared" si="10"/>
        <v>9402</v>
      </c>
      <c r="D47" s="149">
        <f t="shared" si="11"/>
        <v>12.1</v>
      </c>
      <c r="E47" s="150">
        <f t="shared" si="12"/>
        <v>12.093</v>
      </c>
      <c r="F47" s="149">
        <f t="shared" si="13"/>
        <v>38.5</v>
      </c>
      <c r="G47" s="150">
        <f t="shared" si="14"/>
        <v>38.513</v>
      </c>
      <c r="H47" s="149">
        <f t="shared" si="15"/>
        <v>49.4</v>
      </c>
      <c r="I47" s="150">
        <f t="shared" si="16"/>
        <v>49.394</v>
      </c>
      <c r="J47" s="149">
        <f t="shared" si="17"/>
        <v>100</v>
      </c>
      <c r="K47" s="151">
        <f t="shared" si="18"/>
        <v>100</v>
      </c>
      <c r="L47" s="145">
        <v>1137</v>
      </c>
      <c r="M47" s="145">
        <v>3621</v>
      </c>
      <c r="N47" s="145">
        <v>4644</v>
      </c>
      <c r="O47" s="145">
        <v>9402</v>
      </c>
      <c r="P47" s="153">
        <v>19914</v>
      </c>
      <c r="Q47" s="153">
        <v>18921</v>
      </c>
      <c r="R47" s="154">
        <v>115.71</v>
      </c>
    </row>
    <row r="48" spans="1:18" ht="13.5">
      <c r="A48" s="143">
        <v>45</v>
      </c>
      <c r="B48" s="152" t="s">
        <v>48</v>
      </c>
      <c r="C48" s="148">
        <f t="shared" si="10"/>
        <v>4155</v>
      </c>
      <c r="D48" s="149">
        <f t="shared" si="11"/>
        <v>18.5</v>
      </c>
      <c r="E48" s="150">
        <f t="shared" si="12"/>
        <v>18.532</v>
      </c>
      <c r="F48" s="149">
        <f t="shared" si="13"/>
        <v>42.5</v>
      </c>
      <c r="G48" s="150">
        <f t="shared" si="14"/>
        <v>42.503</v>
      </c>
      <c r="H48" s="149">
        <f t="shared" si="15"/>
        <v>39</v>
      </c>
      <c r="I48" s="150">
        <f t="shared" si="16"/>
        <v>38.965</v>
      </c>
      <c r="J48" s="149">
        <f t="shared" si="17"/>
        <v>100</v>
      </c>
      <c r="K48" s="151">
        <f t="shared" si="18"/>
        <v>100</v>
      </c>
      <c r="L48" s="145">
        <v>770</v>
      </c>
      <c r="M48" s="145">
        <v>1766</v>
      </c>
      <c r="N48" s="145">
        <v>1619</v>
      </c>
      <c r="O48" s="145">
        <v>4155</v>
      </c>
      <c r="P48" s="153">
        <v>7680</v>
      </c>
      <c r="Q48" s="153">
        <v>7602</v>
      </c>
      <c r="R48" s="154">
        <v>46.56</v>
      </c>
    </row>
    <row r="49" spans="1:18" ht="13.5">
      <c r="A49" s="143">
        <v>46</v>
      </c>
      <c r="B49" s="152" t="s">
        <v>49</v>
      </c>
      <c r="C49" s="148">
        <f t="shared" si="10"/>
        <v>4241</v>
      </c>
      <c r="D49" s="149">
        <f t="shared" si="11"/>
        <v>24.2</v>
      </c>
      <c r="E49" s="150">
        <f t="shared" si="12"/>
        <v>24.169</v>
      </c>
      <c r="F49" s="149">
        <f t="shared" si="13"/>
        <v>43</v>
      </c>
      <c r="G49" s="150">
        <f t="shared" si="14"/>
        <v>42.962</v>
      </c>
      <c r="H49" s="149">
        <f t="shared" si="15"/>
        <v>32.9</v>
      </c>
      <c r="I49" s="150">
        <f t="shared" si="16"/>
        <v>32.87</v>
      </c>
      <c r="J49" s="149">
        <f t="shared" si="17"/>
        <v>100.1</v>
      </c>
      <c r="K49" s="151">
        <f t="shared" si="18"/>
        <v>100.001</v>
      </c>
      <c r="L49" s="145">
        <v>1025</v>
      </c>
      <c r="M49" s="145">
        <v>1822</v>
      </c>
      <c r="N49" s="145">
        <v>1394</v>
      </c>
      <c r="O49" s="145">
        <v>4241</v>
      </c>
      <c r="P49" s="153">
        <v>7910</v>
      </c>
      <c r="Q49" s="153">
        <v>7538</v>
      </c>
      <c r="R49" s="154">
        <v>93.53</v>
      </c>
    </row>
    <row r="50" spans="1:18" ht="13.5">
      <c r="A50" s="143">
        <v>47</v>
      </c>
      <c r="B50" s="152" t="s">
        <v>50</v>
      </c>
      <c r="C50" s="148">
        <f t="shared" si="10"/>
        <v>3781</v>
      </c>
      <c r="D50" s="149">
        <f t="shared" si="11"/>
        <v>12.7</v>
      </c>
      <c r="E50" s="150">
        <f t="shared" si="12"/>
        <v>12.748</v>
      </c>
      <c r="F50" s="149">
        <f t="shared" si="13"/>
        <v>47.5</v>
      </c>
      <c r="G50" s="150">
        <f t="shared" si="14"/>
        <v>47.527</v>
      </c>
      <c r="H50" s="149">
        <f t="shared" si="15"/>
        <v>39.7</v>
      </c>
      <c r="I50" s="150">
        <f t="shared" si="16"/>
        <v>39.725</v>
      </c>
      <c r="J50" s="149">
        <f t="shared" si="17"/>
        <v>99.9</v>
      </c>
      <c r="K50" s="151">
        <f t="shared" si="18"/>
        <v>100</v>
      </c>
      <c r="L50" s="145">
        <v>482</v>
      </c>
      <c r="M50" s="145">
        <v>1797</v>
      </c>
      <c r="N50" s="145">
        <v>1502</v>
      </c>
      <c r="O50" s="145">
        <v>3781</v>
      </c>
      <c r="P50" s="153">
        <v>7484</v>
      </c>
      <c r="Q50" s="153">
        <v>7272</v>
      </c>
      <c r="R50" s="154">
        <v>37.43</v>
      </c>
    </row>
    <row r="51" spans="1:18" ht="13.5">
      <c r="A51" s="143">
        <v>48</v>
      </c>
      <c r="B51" s="152" t="s">
        <v>51</v>
      </c>
      <c r="C51" s="148">
        <f t="shared" si="10"/>
        <v>3457</v>
      </c>
      <c r="D51" s="149">
        <f t="shared" si="11"/>
        <v>18.7</v>
      </c>
      <c r="E51" s="150">
        <f t="shared" si="12"/>
        <v>18.745</v>
      </c>
      <c r="F51" s="149">
        <f t="shared" si="13"/>
        <v>46.3</v>
      </c>
      <c r="G51" s="150">
        <f t="shared" si="14"/>
        <v>46.283</v>
      </c>
      <c r="H51" s="149">
        <f t="shared" si="15"/>
        <v>35</v>
      </c>
      <c r="I51" s="150">
        <f t="shared" si="16"/>
        <v>34.973</v>
      </c>
      <c r="J51" s="149">
        <f t="shared" si="17"/>
        <v>100</v>
      </c>
      <c r="K51" s="151">
        <f t="shared" si="18"/>
        <v>100.001</v>
      </c>
      <c r="L51" s="145">
        <v>648</v>
      </c>
      <c r="M51" s="145">
        <v>1600</v>
      </c>
      <c r="N51" s="145">
        <v>1209</v>
      </c>
      <c r="O51" s="145">
        <v>3457</v>
      </c>
      <c r="P51" s="153">
        <v>6818</v>
      </c>
      <c r="Q51" s="153">
        <v>6511</v>
      </c>
      <c r="R51" s="154">
        <v>163.47</v>
      </c>
    </row>
    <row r="52" spans="1:18" ht="13.5">
      <c r="A52" s="143">
        <v>49</v>
      </c>
      <c r="B52" s="152" t="s">
        <v>52</v>
      </c>
      <c r="C52" s="148">
        <f t="shared" si="10"/>
        <v>9891</v>
      </c>
      <c r="D52" s="149">
        <f t="shared" si="11"/>
        <v>9.9</v>
      </c>
      <c r="E52" s="150">
        <f t="shared" si="12"/>
        <v>9.898</v>
      </c>
      <c r="F52" s="149">
        <f t="shared" si="13"/>
        <v>33.2</v>
      </c>
      <c r="G52" s="150">
        <f t="shared" si="14"/>
        <v>33.242</v>
      </c>
      <c r="H52" s="149">
        <f t="shared" si="15"/>
        <v>56.9</v>
      </c>
      <c r="I52" s="150">
        <f t="shared" si="16"/>
        <v>56.86</v>
      </c>
      <c r="J52" s="149">
        <f t="shared" si="17"/>
        <v>100</v>
      </c>
      <c r="K52" s="151">
        <f t="shared" si="18"/>
        <v>100</v>
      </c>
      <c r="L52" s="145">
        <v>979</v>
      </c>
      <c r="M52" s="145">
        <v>3288</v>
      </c>
      <c r="N52" s="145">
        <v>5624</v>
      </c>
      <c r="O52" s="145">
        <v>9891</v>
      </c>
      <c r="P52" s="153">
        <v>19976</v>
      </c>
      <c r="Q52" s="153">
        <v>19194</v>
      </c>
      <c r="R52" s="154">
        <v>72.76</v>
      </c>
    </row>
    <row r="53" spans="1:18" ht="13.5">
      <c r="A53" s="143">
        <v>50</v>
      </c>
      <c r="B53" s="152" t="s">
        <v>53</v>
      </c>
      <c r="C53" s="148">
        <f t="shared" si="10"/>
        <v>6321</v>
      </c>
      <c r="D53" s="149">
        <f t="shared" si="11"/>
        <v>13.9</v>
      </c>
      <c r="E53" s="150">
        <f t="shared" si="12"/>
        <v>13.922</v>
      </c>
      <c r="F53" s="149">
        <f t="shared" si="13"/>
        <v>42</v>
      </c>
      <c r="G53" s="150">
        <f t="shared" si="14"/>
        <v>42.034</v>
      </c>
      <c r="H53" s="149">
        <f t="shared" si="15"/>
        <v>44</v>
      </c>
      <c r="I53" s="150">
        <f t="shared" si="16"/>
        <v>44.044</v>
      </c>
      <c r="J53" s="149">
        <f t="shared" si="17"/>
        <v>99.9</v>
      </c>
      <c r="K53" s="151">
        <f t="shared" si="18"/>
        <v>100</v>
      </c>
      <c r="L53" s="145">
        <v>880</v>
      </c>
      <c r="M53" s="145">
        <v>2657</v>
      </c>
      <c r="N53" s="145">
        <v>2784</v>
      </c>
      <c r="O53" s="145">
        <v>6321</v>
      </c>
      <c r="P53" s="153">
        <v>12555</v>
      </c>
      <c r="Q53" s="153">
        <v>12105</v>
      </c>
      <c r="R53" s="154">
        <v>125.11</v>
      </c>
    </row>
    <row r="54" spans="1:18" ht="13.5">
      <c r="A54" s="143">
        <v>51</v>
      </c>
      <c r="B54" s="152" t="s">
        <v>54</v>
      </c>
      <c r="C54" s="148">
        <f t="shared" si="10"/>
        <v>2707</v>
      </c>
      <c r="D54" s="149">
        <f t="shared" si="11"/>
        <v>5.5</v>
      </c>
      <c r="E54" s="150">
        <f t="shared" si="12"/>
        <v>5.504</v>
      </c>
      <c r="F54" s="149">
        <f t="shared" si="13"/>
        <v>33.9</v>
      </c>
      <c r="G54" s="150">
        <f t="shared" si="14"/>
        <v>33.875</v>
      </c>
      <c r="H54" s="149">
        <f t="shared" si="15"/>
        <v>60.6</v>
      </c>
      <c r="I54" s="150">
        <f t="shared" si="16"/>
        <v>60.621</v>
      </c>
      <c r="J54" s="149">
        <f t="shared" si="17"/>
        <v>100</v>
      </c>
      <c r="K54" s="151">
        <f t="shared" si="18"/>
        <v>100</v>
      </c>
      <c r="L54" s="145">
        <v>149</v>
      </c>
      <c r="M54" s="145">
        <v>917</v>
      </c>
      <c r="N54" s="145">
        <v>1641</v>
      </c>
      <c r="O54" s="145">
        <v>2707</v>
      </c>
      <c r="P54" s="153">
        <v>5813</v>
      </c>
      <c r="Q54" s="153">
        <v>5533</v>
      </c>
      <c r="R54" s="154">
        <v>58.39</v>
      </c>
    </row>
    <row r="55" spans="1:18" ht="13.5">
      <c r="A55" s="143">
        <v>52</v>
      </c>
      <c r="B55" s="152" t="s">
        <v>55</v>
      </c>
      <c r="C55" s="148">
        <f t="shared" si="10"/>
        <v>3984</v>
      </c>
      <c r="D55" s="149">
        <f t="shared" si="11"/>
        <v>8.3</v>
      </c>
      <c r="E55" s="150">
        <f t="shared" si="12"/>
        <v>8.333</v>
      </c>
      <c r="F55" s="149">
        <f t="shared" si="13"/>
        <v>35.7</v>
      </c>
      <c r="G55" s="150">
        <f t="shared" si="14"/>
        <v>35.693</v>
      </c>
      <c r="H55" s="149">
        <f t="shared" si="15"/>
        <v>56</v>
      </c>
      <c r="I55" s="150">
        <f t="shared" si="16"/>
        <v>55.974</v>
      </c>
      <c r="J55" s="149">
        <f t="shared" si="17"/>
        <v>100</v>
      </c>
      <c r="K55" s="151">
        <f t="shared" si="18"/>
        <v>100</v>
      </c>
      <c r="L55" s="145">
        <v>332</v>
      </c>
      <c r="M55" s="145">
        <v>1422</v>
      </c>
      <c r="N55" s="145">
        <v>2230</v>
      </c>
      <c r="O55" s="145">
        <v>3984</v>
      </c>
      <c r="P55" s="153">
        <v>8380</v>
      </c>
      <c r="Q55" s="153">
        <v>8188</v>
      </c>
      <c r="R55" s="154">
        <v>103.45</v>
      </c>
    </row>
    <row r="56" spans="1:18" ht="13.5">
      <c r="A56" s="143">
        <v>53</v>
      </c>
      <c r="B56" s="152" t="s">
        <v>56</v>
      </c>
      <c r="C56" s="148">
        <f aca="true" t="shared" si="19" ref="C56:C63">O56</f>
        <v>7807</v>
      </c>
      <c r="D56" s="149">
        <f aca="true" t="shared" si="20" ref="D56:D63">ROUND(L56/C56*100,1)</f>
        <v>6.3</v>
      </c>
      <c r="E56" s="150">
        <f aca="true" t="shared" si="21" ref="E56:E63">ROUND(L56/C56*100,3)</f>
        <v>6.276</v>
      </c>
      <c r="F56" s="149">
        <f aca="true" t="shared" si="22" ref="F56:F63">ROUND(M56/C56*100,1)</f>
        <v>32.9</v>
      </c>
      <c r="G56" s="150">
        <f aca="true" t="shared" si="23" ref="G56:G63">ROUND(M56/C56*100,3)</f>
        <v>32.932</v>
      </c>
      <c r="H56" s="149">
        <f aca="true" t="shared" si="24" ref="H56:H63">ROUND(N56/C56*100,1)</f>
        <v>60.8</v>
      </c>
      <c r="I56" s="150">
        <f aca="true" t="shared" si="25" ref="I56:I63">ROUND(N56/C56*100,3)</f>
        <v>60.792</v>
      </c>
      <c r="J56" s="149">
        <f aca="true" t="shared" si="26" ref="J56:J63">D56+F56+H56</f>
        <v>100</v>
      </c>
      <c r="K56" s="151">
        <f aca="true" t="shared" si="27" ref="K56:K63">E56+G56+I56</f>
        <v>100</v>
      </c>
      <c r="L56" s="145">
        <v>490</v>
      </c>
      <c r="M56" s="145">
        <v>2571</v>
      </c>
      <c r="N56" s="145">
        <v>4746</v>
      </c>
      <c r="O56" s="145">
        <v>7807</v>
      </c>
      <c r="P56" s="153">
        <v>16173</v>
      </c>
      <c r="Q56" s="153">
        <v>15910</v>
      </c>
      <c r="R56" s="154">
        <v>68.47</v>
      </c>
    </row>
    <row r="57" spans="1:18" ht="13.5">
      <c r="A57" s="143">
        <v>54</v>
      </c>
      <c r="B57" s="152" t="s">
        <v>57</v>
      </c>
      <c r="C57" s="148">
        <f t="shared" si="19"/>
        <v>1459</v>
      </c>
      <c r="D57" s="149">
        <f t="shared" si="20"/>
        <v>21.9</v>
      </c>
      <c r="E57" s="150">
        <f t="shared" si="21"/>
        <v>21.933</v>
      </c>
      <c r="F57" s="149">
        <f t="shared" si="22"/>
        <v>31.7</v>
      </c>
      <c r="G57" s="150">
        <f t="shared" si="23"/>
        <v>31.666</v>
      </c>
      <c r="H57" s="149">
        <f t="shared" si="24"/>
        <v>46.4</v>
      </c>
      <c r="I57" s="150">
        <f t="shared" si="25"/>
        <v>46.402</v>
      </c>
      <c r="J57" s="149">
        <f t="shared" si="26"/>
        <v>100</v>
      </c>
      <c r="K57" s="151">
        <f t="shared" si="27"/>
        <v>100.001</v>
      </c>
      <c r="L57" s="145">
        <v>320</v>
      </c>
      <c r="M57" s="145">
        <v>462</v>
      </c>
      <c r="N57" s="145">
        <v>677</v>
      </c>
      <c r="O57" s="145">
        <v>1459</v>
      </c>
      <c r="P57" s="153">
        <v>3384</v>
      </c>
      <c r="Q57" s="153">
        <v>3125</v>
      </c>
      <c r="R57" s="154">
        <v>197.38</v>
      </c>
    </row>
    <row r="58" spans="1:18" ht="13.5">
      <c r="A58" s="143">
        <v>55</v>
      </c>
      <c r="B58" s="152" t="s">
        <v>58</v>
      </c>
      <c r="C58" s="148">
        <f t="shared" si="19"/>
        <v>5319</v>
      </c>
      <c r="D58" s="149">
        <f t="shared" si="20"/>
        <v>8.8</v>
      </c>
      <c r="E58" s="150">
        <f t="shared" si="21"/>
        <v>8.78</v>
      </c>
      <c r="F58" s="149">
        <f t="shared" si="22"/>
        <v>30.5</v>
      </c>
      <c r="G58" s="150">
        <f t="shared" si="23"/>
        <v>30.513</v>
      </c>
      <c r="H58" s="149">
        <f t="shared" si="24"/>
        <v>60.7</v>
      </c>
      <c r="I58" s="150">
        <f t="shared" si="25"/>
        <v>60.707</v>
      </c>
      <c r="J58" s="149">
        <f t="shared" si="26"/>
        <v>100</v>
      </c>
      <c r="K58" s="151">
        <f t="shared" si="27"/>
        <v>100</v>
      </c>
      <c r="L58" s="145">
        <v>467</v>
      </c>
      <c r="M58" s="145">
        <v>1623</v>
      </c>
      <c r="N58" s="145">
        <v>3229</v>
      </c>
      <c r="O58" s="145">
        <v>5319</v>
      </c>
      <c r="P58" s="153">
        <v>10803</v>
      </c>
      <c r="Q58" s="153">
        <v>10992</v>
      </c>
      <c r="R58" s="154">
        <v>78.7</v>
      </c>
    </row>
    <row r="59" spans="1:18" ht="13.5">
      <c r="A59" s="143">
        <v>56</v>
      </c>
      <c r="B59" s="152" t="s">
        <v>59</v>
      </c>
      <c r="C59" s="148">
        <f t="shared" si="19"/>
        <v>3449</v>
      </c>
      <c r="D59" s="149">
        <f t="shared" si="20"/>
        <v>9.6</v>
      </c>
      <c r="E59" s="150">
        <f t="shared" si="21"/>
        <v>9.597</v>
      </c>
      <c r="F59" s="149">
        <f t="shared" si="22"/>
        <v>27.1</v>
      </c>
      <c r="G59" s="150">
        <f t="shared" si="23"/>
        <v>27.109</v>
      </c>
      <c r="H59" s="149">
        <f t="shared" si="24"/>
        <v>63.3</v>
      </c>
      <c r="I59" s="150">
        <f t="shared" si="25"/>
        <v>63.294</v>
      </c>
      <c r="J59" s="149">
        <f t="shared" si="26"/>
        <v>100</v>
      </c>
      <c r="K59" s="151">
        <f t="shared" si="27"/>
        <v>100</v>
      </c>
      <c r="L59" s="145">
        <v>331</v>
      </c>
      <c r="M59" s="145">
        <v>935</v>
      </c>
      <c r="N59" s="145">
        <v>2183</v>
      </c>
      <c r="O59" s="145">
        <v>3449</v>
      </c>
      <c r="P59" s="153">
        <v>7647</v>
      </c>
      <c r="Q59" s="153">
        <v>7170</v>
      </c>
      <c r="R59" s="154">
        <v>51.4</v>
      </c>
    </row>
    <row r="60" spans="1:18" ht="13.5">
      <c r="A60" s="143">
        <v>57</v>
      </c>
      <c r="B60" s="152" t="s">
        <v>60</v>
      </c>
      <c r="C60" s="148">
        <f t="shared" si="19"/>
        <v>10364</v>
      </c>
      <c r="D60" s="149">
        <f t="shared" si="20"/>
        <v>10.3</v>
      </c>
      <c r="E60" s="150">
        <f t="shared" si="21"/>
        <v>10.305</v>
      </c>
      <c r="F60" s="149">
        <f t="shared" si="22"/>
        <v>34.1</v>
      </c>
      <c r="G60" s="150">
        <f t="shared" si="23"/>
        <v>34.099</v>
      </c>
      <c r="H60" s="149">
        <f t="shared" si="24"/>
        <v>55.6</v>
      </c>
      <c r="I60" s="150">
        <f t="shared" si="25"/>
        <v>55.596</v>
      </c>
      <c r="J60" s="149">
        <f t="shared" si="26"/>
        <v>100</v>
      </c>
      <c r="K60" s="151">
        <f t="shared" si="27"/>
        <v>100</v>
      </c>
      <c r="L60" s="145">
        <v>1068</v>
      </c>
      <c r="M60" s="145">
        <v>3534</v>
      </c>
      <c r="N60" s="145">
        <v>5762</v>
      </c>
      <c r="O60" s="145">
        <v>10364</v>
      </c>
      <c r="P60" s="153">
        <v>22609</v>
      </c>
      <c r="Q60" s="153">
        <v>21615</v>
      </c>
      <c r="R60" s="154">
        <v>223.1</v>
      </c>
    </row>
    <row r="61" spans="1:18" ht="13.5">
      <c r="A61" s="143">
        <v>58</v>
      </c>
      <c r="B61" s="152" t="s">
        <v>61</v>
      </c>
      <c r="C61" s="148">
        <f t="shared" si="19"/>
        <v>888</v>
      </c>
      <c r="D61" s="149">
        <f t="shared" si="20"/>
        <v>38.3</v>
      </c>
      <c r="E61" s="150">
        <f t="shared" si="21"/>
        <v>38.288</v>
      </c>
      <c r="F61" s="149">
        <f t="shared" si="22"/>
        <v>31.9</v>
      </c>
      <c r="G61" s="150">
        <f t="shared" si="23"/>
        <v>31.869</v>
      </c>
      <c r="H61" s="149">
        <f t="shared" si="24"/>
        <v>29.8</v>
      </c>
      <c r="I61" s="150">
        <f t="shared" si="25"/>
        <v>29.842</v>
      </c>
      <c r="J61" s="149">
        <f t="shared" si="26"/>
        <v>99.99999999999999</v>
      </c>
      <c r="K61" s="151">
        <f t="shared" si="27"/>
        <v>99.999</v>
      </c>
      <c r="L61" s="145">
        <v>340</v>
      </c>
      <c r="M61" s="145">
        <v>283</v>
      </c>
      <c r="N61" s="145">
        <v>265</v>
      </c>
      <c r="O61" s="145">
        <v>888</v>
      </c>
      <c r="P61" s="153">
        <v>1736</v>
      </c>
      <c r="Q61" s="153">
        <v>1625</v>
      </c>
      <c r="R61" s="154">
        <v>84.23</v>
      </c>
    </row>
    <row r="62" spans="1:18" ht="13.5">
      <c r="A62" s="143">
        <v>59</v>
      </c>
      <c r="B62" s="152" t="s">
        <v>62</v>
      </c>
      <c r="C62" s="148">
        <f t="shared" si="19"/>
        <v>4208</v>
      </c>
      <c r="D62" s="149">
        <f t="shared" si="20"/>
        <v>15.3</v>
      </c>
      <c r="E62" s="150">
        <f t="shared" si="21"/>
        <v>15.257</v>
      </c>
      <c r="F62" s="149">
        <f t="shared" si="22"/>
        <v>36</v>
      </c>
      <c r="G62" s="150">
        <f t="shared" si="23"/>
        <v>36.027</v>
      </c>
      <c r="H62" s="149">
        <f t="shared" si="24"/>
        <v>48.7</v>
      </c>
      <c r="I62" s="150">
        <f t="shared" si="25"/>
        <v>48.717</v>
      </c>
      <c r="J62" s="149">
        <f t="shared" si="26"/>
        <v>100</v>
      </c>
      <c r="K62" s="151">
        <f t="shared" si="27"/>
        <v>100.001</v>
      </c>
      <c r="L62" s="145">
        <v>642</v>
      </c>
      <c r="M62" s="145">
        <v>1516</v>
      </c>
      <c r="N62" s="145">
        <v>2050</v>
      </c>
      <c r="O62" s="145">
        <v>4208</v>
      </c>
      <c r="P62" s="153">
        <v>9017</v>
      </c>
      <c r="Q62" s="153">
        <v>8584</v>
      </c>
      <c r="R62" s="154">
        <v>46.35</v>
      </c>
    </row>
    <row r="63" spans="1:18" ht="13.5">
      <c r="A63" s="143">
        <v>60</v>
      </c>
      <c r="B63" s="152" t="s">
        <v>63</v>
      </c>
      <c r="C63" s="148">
        <f t="shared" si="19"/>
        <v>3403</v>
      </c>
      <c r="D63" s="149">
        <f t="shared" si="20"/>
        <v>29.8</v>
      </c>
      <c r="E63" s="150">
        <f t="shared" si="21"/>
        <v>29.768</v>
      </c>
      <c r="F63" s="149">
        <f t="shared" si="22"/>
        <v>39.3</v>
      </c>
      <c r="G63" s="150">
        <f t="shared" si="23"/>
        <v>39.318</v>
      </c>
      <c r="H63" s="149">
        <f t="shared" si="24"/>
        <v>30.9</v>
      </c>
      <c r="I63" s="150">
        <f t="shared" si="25"/>
        <v>30.914</v>
      </c>
      <c r="J63" s="149">
        <f t="shared" si="26"/>
        <v>100</v>
      </c>
      <c r="K63" s="151">
        <f t="shared" si="27"/>
        <v>100</v>
      </c>
      <c r="L63" s="145">
        <v>1013</v>
      </c>
      <c r="M63" s="145">
        <v>1338</v>
      </c>
      <c r="N63" s="145">
        <v>1052</v>
      </c>
      <c r="O63" s="145">
        <v>3403</v>
      </c>
      <c r="P63" s="153">
        <v>7093</v>
      </c>
      <c r="Q63" s="153">
        <v>6722</v>
      </c>
      <c r="R63" s="154">
        <v>230.13</v>
      </c>
    </row>
    <row r="64" spans="2:18" ht="13.5">
      <c r="B64" s="152" t="s">
        <v>165</v>
      </c>
      <c r="C64" s="148">
        <f>O64</f>
        <v>781921</v>
      </c>
      <c r="D64" s="149">
        <f>ROUND(L64/C64*100,1)</f>
        <v>7.6</v>
      </c>
      <c r="E64" s="150">
        <f>ROUND(L64/C64*100,3)</f>
        <v>7.56</v>
      </c>
      <c r="F64" s="149">
        <f>ROUND(M64/C64*100,1)</f>
        <v>29.3</v>
      </c>
      <c r="G64" s="150">
        <f>ROUND(M64/C64*100,3)</f>
        <v>29.328</v>
      </c>
      <c r="H64" s="149">
        <f>ROUND(N64/C64*100,1)</f>
        <v>63.1</v>
      </c>
      <c r="I64" s="150">
        <f>ROUND(N64/C64*100,3)</f>
        <v>63.111</v>
      </c>
      <c r="J64" s="149">
        <f aca="true" t="shared" si="28" ref="J64:K66">D64+F64+H64</f>
        <v>100</v>
      </c>
      <c r="K64" s="151">
        <f t="shared" si="28"/>
        <v>99.999</v>
      </c>
      <c r="L64" s="145">
        <f aca="true" t="shared" si="29" ref="L64:R64">SUM(L4:L16)</f>
        <v>59117</v>
      </c>
      <c r="M64" s="145">
        <f t="shared" si="29"/>
        <v>229323</v>
      </c>
      <c r="N64" s="145">
        <f t="shared" si="29"/>
        <v>493481</v>
      </c>
      <c r="O64" s="145">
        <f t="shared" si="29"/>
        <v>781921</v>
      </c>
      <c r="P64" s="145">
        <f t="shared" si="29"/>
        <v>1654101</v>
      </c>
      <c r="Q64" s="145">
        <f t="shared" si="29"/>
        <v>1636605</v>
      </c>
      <c r="R64" s="192">
        <f t="shared" si="29"/>
        <v>6009.54</v>
      </c>
    </row>
    <row r="65" spans="2:18" ht="13.5">
      <c r="B65" s="152" t="s">
        <v>166</v>
      </c>
      <c r="C65" s="148">
        <f>O65</f>
        <v>228199</v>
      </c>
      <c r="D65" s="149">
        <f>ROUND(L65/C65*100,1)</f>
        <v>14.6</v>
      </c>
      <c r="E65" s="150">
        <f>ROUND(L65/C65*100,3)</f>
        <v>14.646</v>
      </c>
      <c r="F65" s="149">
        <f>ROUND(M65/C65*100,1)</f>
        <v>35.2</v>
      </c>
      <c r="G65" s="150">
        <f>ROUND(M65/C65*100,3)</f>
        <v>35.205</v>
      </c>
      <c r="H65" s="149">
        <f>ROUND(N65/C65*100,1)</f>
        <v>50.1</v>
      </c>
      <c r="I65" s="150">
        <f>ROUND(N65/C65*100,3)</f>
        <v>50.149</v>
      </c>
      <c r="J65" s="149">
        <f t="shared" si="28"/>
        <v>99.9</v>
      </c>
      <c r="K65" s="151">
        <f t="shared" si="28"/>
        <v>100</v>
      </c>
      <c r="L65" s="145">
        <f aca="true" t="shared" si="30" ref="L65:R65">SUM(L17:L63)</f>
        <v>33423</v>
      </c>
      <c r="M65" s="145">
        <f t="shared" si="30"/>
        <v>80337</v>
      </c>
      <c r="N65" s="145">
        <f t="shared" si="30"/>
        <v>114439</v>
      </c>
      <c r="O65" s="145">
        <f t="shared" si="30"/>
        <v>228199</v>
      </c>
      <c r="P65" s="145">
        <f t="shared" si="30"/>
        <v>472834</v>
      </c>
      <c r="Q65" s="145">
        <f t="shared" si="30"/>
        <v>454714</v>
      </c>
      <c r="R65" s="192">
        <f t="shared" si="30"/>
        <v>7773.210000000001</v>
      </c>
    </row>
    <row r="66" spans="2:18" ht="13.5">
      <c r="B66" s="152" t="s">
        <v>167</v>
      </c>
      <c r="C66" s="148">
        <f>O66</f>
        <v>1010120</v>
      </c>
      <c r="D66" s="149">
        <f>ROUND(L66/C66*100,1)</f>
        <v>9.2</v>
      </c>
      <c r="E66" s="150">
        <f>ROUND(L66/C66*100,3)</f>
        <v>9.161</v>
      </c>
      <c r="F66" s="149">
        <f>ROUND(M66/C66*100,1)</f>
        <v>30.7</v>
      </c>
      <c r="G66" s="150">
        <f>ROUND(M66/C66*100,3)</f>
        <v>30.656</v>
      </c>
      <c r="H66" s="149">
        <f>ROUND(N66/C66*100,1)</f>
        <v>60.2</v>
      </c>
      <c r="I66" s="150">
        <f>ROUND(N66/C66*100,3)</f>
        <v>60.183</v>
      </c>
      <c r="J66" s="149">
        <f t="shared" si="28"/>
        <v>100.1</v>
      </c>
      <c r="K66" s="151">
        <f t="shared" si="28"/>
        <v>100</v>
      </c>
      <c r="L66" s="145">
        <f>SUM(L64:L65)</f>
        <v>92540</v>
      </c>
      <c r="M66" s="145">
        <f aca="true" t="shared" si="31" ref="M66:R66">SUM(M64:M65)</f>
        <v>309660</v>
      </c>
      <c r="N66" s="145">
        <f t="shared" si="31"/>
        <v>607920</v>
      </c>
      <c r="O66" s="145">
        <f>SUM(O64:O65)</f>
        <v>1010120</v>
      </c>
      <c r="P66" s="145">
        <f t="shared" si="31"/>
        <v>2126935</v>
      </c>
      <c r="Q66" s="145">
        <f>SUM(Q64:Q65)</f>
        <v>2091319</v>
      </c>
      <c r="R66" s="192">
        <f t="shared" si="31"/>
        <v>13782.75</v>
      </c>
    </row>
    <row r="67" spans="2:18" ht="13.5">
      <c r="B67" s="152"/>
      <c r="C67" s="148"/>
      <c r="D67" s="149"/>
      <c r="E67" s="150"/>
      <c r="F67" s="149"/>
      <c r="G67" s="150"/>
      <c r="H67" s="149"/>
      <c r="I67" s="150"/>
      <c r="J67" s="149"/>
      <c r="K67" s="151"/>
      <c r="P67" s="153"/>
      <c r="Q67" s="153"/>
      <c r="R67" s="154"/>
    </row>
    <row r="68" spans="2:18" ht="13.5">
      <c r="B68" s="146"/>
      <c r="P68" s="153"/>
      <c r="Q68" s="153"/>
      <c r="R68" s="154"/>
    </row>
    <row r="69" spans="2:18" ht="13.5">
      <c r="B69" s="152" t="s">
        <v>1</v>
      </c>
      <c r="C69" s="148"/>
      <c r="D69" s="149"/>
      <c r="E69" s="150"/>
      <c r="F69" s="149"/>
      <c r="G69" s="150"/>
      <c r="H69" s="149"/>
      <c r="I69" s="150"/>
      <c r="J69" s="149"/>
      <c r="K69" s="151"/>
      <c r="L69" s="145">
        <v>3514</v>
      </c>
      <c r="M69" s="145">
        <v>15221</v>
      </c>
      <c r="N69" s="145">
        <v>38539</v>
      </c>
      <c r="O69" s="145">
        <v>57934</v>
      </c>
      <c r="P69" s="153">
        <v>125805</v>
      </c>
      <c r="Q69" s="153">
        <v>118118</v>
      </c>
      <c r="R69" s="154">
        <v>315.28</v>
      </c>
    </row>
    <row r="70" spans="2:18" ht="13.5">
      <c r="B70" s="152" t="s">
        <v>249</v>
      </c>
      <c r="C70" s="148"/>
      <c r="D70" s="149"/>
      <c r="E70" s="150"/>
      <c r="F70" s="149"/>
      <c r="G70" s="150"/>
      <c r="H70" s="149"/>
      <c r="I70" s="150"/>
      <c r="J70" s="149"/>
      <c r="K70" s="151"/>
      <c r="L70" s="145">
        <v>671</v>
      </c>
      <c r="M70" s="145">
        <v>1435</v>
      </c>
      <c r="N70" s="145">
        <v>2526</v>
      </c>
      <c r="O70" s="145">
        <v>4636</v>
      </c>
      <c r="P70" s="153">
        <v>9610</v>
      </c>
      <c r="Q70" s="153">
        <v>7687</v>
      </c>
      <c r="R70" s="154">
        <v>28.18</v>
      </c>
    </row>
    <row r="71" spans="12:16" ht="13.5">
      <c r="L71" s="153">
        <f>SUM(L69:L70)</f>
        <v>4185</v>
      </c>
      <c r="M71" s="153">
        <f>SUM(M69:M70)</f>
        <v>16656</v>
      </c>
      <c r="N71" s="153">
        <f>SUM(N69:N70)</f>
        <v>41065</v>
      </c>
      <c r="O71" s="153">
        <f>SUM(O69:O70)</f>
        <v>62570</v>
      </c>
      <c r="P71" s="153">
        <f>SUM(P69:P70)</f>
        <v>135415</v>
      </c>
    </row>
    <row r="73" spans="2:16" ht="13.5">
      <c r="B73" s="143" t="s">
        <v>250</v>
      </c>
      <c r="L73" s="145">
        <v>1223</v>
      </c>
      <c r="M73" s="145">
        <v>8050</v>
      </c>
      <c r="N73" s="145">
        <v>13866</v>
      </c>
      <c r="O73" s="145">
        <v>23225</v>
      </c>
      <c r="P73" s="143">
        <v>47685</v>
      </c>
    </row>
    <row r="74" spans="2:16" ht="13.5">
      <c r="B74" s="143" t="s">
        <v>251</v>
      </c>
      <c r="L74" s="145">
        <v>418</v>
      </c>
      <c r="M74" s="145">
        <v>1493</v>
      </c>
      <c r="N74" s="145">
        <v>1531</v>
      </c>
      <c r="O74" s="145">
        <v>3449</v>
      </c>
      <c r="P74" s="143">
        <v>7464</v>
      </c>
    </row>
    <row r="75" spans="2:16" ht="13.5">
      <c r="B75" s="143" t="s">
        <v>252</v>
      </c>
      <c r="L75" s="145">
        <v>563</v>
      </c>
      <c r="M75" s="145">
        <v>1295</v>
      </c>
      <c r="N75" s="145">
        <v>1250</v>
      </c>
      <c r="O75" s="145">
        <v>3116</v>
      </c>
      <c r="P75" s="143">
        <v>6013</v>
      </c>
    </row>
    <row r="76" spans="2:16" ht="13.5">
      <c r="B76" s="143" t="s">
        <v>253</v>
      </c>
      <c r="L76" s="145">
        <v>311</v>
      </c>
      <c r="M76" s="145">
        <v>1056</v>
      </c>
      <c r="N76" s="145">
        <v>929</v>
      </c>
      <c r="O76" s="145">
        <v>2345</v>
      </c>
      <c r="P76" s="143">
        <v>4886</v>
      </c>
    </row>
    <row r="77" spans="12:16" ht="13.5">
      <c r="L77" s="143">
        <f>SUM(L73:L76)</f>
        <v>2515</v>
      </c>
      <c r="M77" s="143">
        <f>SUM(M73:M76)</f>
        <v>11894</v>
      </c>
      <c r="N77" s="143">
        <f>SUM(N73:N76)</f>
        <v>17576</v>
      </c>
      <c r="O77" s="143">
        <f>SUM(O73:O76)</f>
        <v>32135</v>
      </c>
      <c r="P77" s="143">
        <f>SUM(P73:P76)</f>
        <v>66048</v>
      </c>
    </row>
    <row r="79" spans="2:16" ht="13.5">
      <c r="B79" s="143" t="s">
        <v>254</v>
      </c>
      <c r="L79" s="145">
        <v>2125</v>
      </c>
      <c r="M79" s="145">
        <v>5720</v>
      </c>
      <c r="N79" s="145">
        <v>9278</v>
      </c>
      <c r="O79" s="145">
        <v>17269</v>
      </c>
      <c r="P79" s="143">
        <v>37495</v>
      </c>
    </row>
    <row r="80" spans="2:16" ht="13.5">
      <c r="B80" s="143" t="s">
        <v>255</v>
      </c>
      <c r="L80" s="145">
        <v>463</v>
      </c>
      <c r="M80" s="145">
        <v>560</v>
      </c>
      <c r="N80" s="145">
        <v>700</v>
      </c>
      <c r="O80" s="145">
        <v>1724</v>
      </c>
      <c r="P80" s="143">
        <v>3633</v>
      </c>
    </row>
    <row r="81" spans="2:16" ht="13.5">
      <c r="B81" s="143" t="s">
        <v>256</v>
      </c>
      <c r="L81" s="145">
        <v>1066</v>
      </c>
      <c r="M81" s="145">
        <v>1656</v>
      </c>
      <c r="N81" s="145">
        <v>2684</v>
      </c>
      <c r="O81" s="145">
        <v>5409</v>
      </c>
      <c r="P81" s="143">
        <v>10612</v>
      </c>
    </row>
    <row r="82" spans="2:16" ht="13.5">
      <c r="B82" s="143" t="s">
        <v>257</v>
      </c>
      <c r="L82" s="145">
        <v>608</v>
      </c>
      <c r="M82" s="145">
        <v>589</v>
      </c>
      <c r="N82" s="145">
        <v>930</v>
      </c>
      <c r="O82" s="145">
        <v>2127</v>
      </c>
      <c r="P82" s="143">
        <v>4317</v>
      </c>
    </row>
    <row r="83" spans="2:16" ht="13.5">
      <c r="B83" s="143" t="s">
        <v>258</v>
      </c>
      <c r="L83" s="145">
        <v>392</v>
      </c>
      <c r="M83" s="145">
        <v>397</v>
      </c>
      <c r="N83" s="145">
        <v>485</v>
      </c>
      <c r="O83" s="145">
        <v>1274</v>
      </c>
      <c r="P83" s="143">
        <v>2514</v>
      </c>
    </row>
    <row r="84" spans="12:16" ht="13.5">
      <c r="L84" s="143">
        <f>SUM(L79:L83)</f>
        <v>4654</v>
      </c>
      <c r="M84" s="143">
        <f>SUM(M79:M83)</f>
        <v>8922</v>
      </c>
      <c r="N84" s="143">
        <f>SUM(N79:N83)</f>
        <v>14077</v>
      </c>
      <c r="O84" s="143">
        <f>SUM(O79:O83)</f>
        <v>27803</v>
      </c>
      <c r="P84" s="143">
        <f>SUM(P79:P83)</f>
        <v>58571</v>
      </c>
    </row>
    <row r="86" spans="2:16" ht="13.5">
      <c r="B86" s="143" t="s">
        <v>259</v>
      </c>
      <c r="L86" s="145">
        <v>1554</v>
      </c>
      <c r="M86" s="145">
        <v>6109</v>
      </c>
      <c r="N86" s="145">
        <v>10173</v>
      </c>
      <c r="O86" s="145">
        <v>17845</v>
      </c>
      <c r="P86" s="143">
        <v>36233</v>
      </c>
    </row>
    <row r="87" spans="2:16" ht="13.5">
      <c r="B87" s="143" t="s">
        <v>260</v>
      </c>
      <c r="L87" s="145">
        <v>691</v>
      </c>
      <c r="M87" s="145">
        <v>2317</v>
      </c>
      <c r="N87" s="145">
        <v>2898</v>
      </c>
      <c r="O87" s="145">
        <v>5916</v>
      </c>
      <c r="P87" s="143">
        <v>11752</v>
      </c>
    </row>
    <row r="88" spans="2:16" ht="13.5">
      <c r="B88" s="143" t="s">
        <v>261</v>
      </c>
      <c r="L88" s="145">
        <v>914</v>
      </c>
      <c r="M88" s="145">
        <v>1863</v>
      </c>
      <c r="N88" s="145">
        <v>1800</v>
      </c>
      <c r="O88" s="145">
        <v>4581</v>
      </c>
      <c r="P88" s="143">
        <v>9585</v>
      </c>
    </row>
    <row r="89" spans="2:16" ht="13.5">
      <c r="B89" s="143" t="s">
        <v>262</v>
      </c>
      <c r="L89" s="145">
        <v>685</v>
      </c>
      <c r="M89" s="145">
        <v>1853</v>
      </c>
      <c r="N89" s="145">
        <v>1439</v>
      </c>
      <c r="O89" s="145">
        <v>3980</v>
      </c>
      <c r="P89" s="143">
        <v>8507</v>
      </c>
    </row>
    <row r="90" spans="12:16" ht="13.5">
      <c r="L90" s="143">
        <f>SUM(L86:L89)</f>
        <v>3844</v>
      </c>
      <c r="M90" s="143">
        <f>SUM(M86:M89)</f>
        <v>12142</v>
      </c>
      <c r="N90" s="143">
        <f>SUM(N86:N89)</f>
        <v>16310</v>
      </c>
      <c r="O90" s="143">
        <f>SUM(O86:O89)</f>
        <v>32322</v>
      </c>
      <c r="P90" s="143">
        <f>SUM(P86:P89)</f>
        <v>66077</v>
      </c>
    </row>
    <row r="92" spans="2:16" ht="13.5">
      <c r="B92" s="143" t="s">
        <v>263</v>
      </c>
      <c r="L92" s="145">
        <v>1523</v>
      </c>
      <c r="M92" s="145">
        <v>7426</v>
      </c>
      <c r="N92" s="145">
        <v>13483</v>
      </c>
      <c r="O92" s="145">
        <v>22593</v>
      </c>
      <c r="P92" s="143">
        <v>48750</v>
      </c>
    </row>
    <row r="93" spans="2:16" ht="13.5">
      <c r="B93" s="143" t="s">
        <v>264</v>
      </c>
      <c r="L93" s="145">
        <v>745</v>
      </c>
      <c r="M93" s="145">
        <v>2125</v>
      </c>
      <c r="N93" s="145">
        <v>3174</v>
      </c>
      <c r="O93" s="145">
        <v>6063</v>
      </c>
      <c r="P93" s="143">
        <v>12740</v>
      </c>
    </row>
    <row r="94" spans="2:16" ht="13.5">
      <c r="B94" s="143" t="s">
        <v>265</v>
      </c>
      <c r="L94" s="145">
        <v>855</v>
      </c>
      <c r="M94" s="145">
        <v>2524</v>
      </c>
      <c r="N94" s="145">
        <v>3139</v>
      </c>
      <c r="O94" s="145">
        <v>6519</v>
      </c>
      <c r="P94" s="143">
        <v>13756</v>
      </c>
    </row>
    <row r="95" spans="12:16" ht="13.5">
      <c r="L95" s="143">
        <f>SUM(L92:L94)</f>
        <v>3123</v>
      </c>
      <c r="M95" s="143">
        <f>SUM(M92:M94)</f>
        <v>12075</v>
      </c>
      <c r="N95" s="143">
        <f>SUM(N92:N94)</f>
        <v>19796</v>
      </c>
      <c r="O95" s="143">
        <f>SUM(O92:O94)</f>
        <v>35175</v>
      </c>
      <c r="P95" s="143">
        <f>SUM(P92:P94)</f>
        <v>75246</v>
      </c>
    </row>
    <row r="97" spans="2:16" ht="13.5">
      <c r="B97" s="152" t="s">
        <v>11</v>
      </c>
      <c r="L97" s="145">
        <v>525</v>
      </c>
      <c r="M97" s="145">
        <v>1593</v>
      </c>
      <c r="N97" s="145">
        <v>3237</v>
      </c>
      <c r="O97" s="145">
        <v>5356</v>
      </c>
      <c r="P97" s="143">
        <v>10857</v>
      </c>
    </row>
    <row r="98" spans="2:16" ht="13.5">
      <c r="B98" s="152" t="s">
        <v>13</v>
      </c>
      <c r="L98" s="145">
        <v>2097</v>
      </c>
      <c r="M98" s="145">
        <v>3580</v>
      </c>
      <c r="N98" s="145">
        <v>4862</v>
      </c>
      <c r="O98" s="145">
        <v>10545</v>
      </c>
      <c r="P98" s="143">
        <v>21385</v>
      </c>
    </row>
    <row r="99" spans="2:16" ht="13.5">
      <c r="B99" s="152" t="s">
        <v>14</v>
      </c>
      <c r="L99" s="145">
        <v>1515</v>
      </c>
      <c r="M99" s="145">
        <v>4068</v>
      </c>
      <c r="N99" s="145">
        <v>6843</v>
      </c>
      <c r="O99" s="145">
        <v>12434</v>
      </c>
      <c r="P99" s="143">
        <v>24891</v>
      </c>
    </row>
    <row r="100" spans="2:16" ht="13.5">
      <c r="B100" s="152" t="s">
        <v>15</v>
      </c>
      <c r="L100" s="145">
        <v>1108</v>
      </c>
      <c r="M100" s="145">
        <v>1588</v>
      </c>
      <c r="N100" s="145">
        <v>2227</v>
      </c>
      <c r="O100" s="145">
        <v>4923</v>
      </c>
      <c r="P100" s="143">
        <v>10031</v>
      </c>
    </row>
    <row r="101" spans="2:16" ht="13.5">
      <c r="B101" s="152" t="s">
        <v>16</v>
      </c>
      <c r="L101" s="145">
        <v>571</v>
      </c>
      <c r="M101" s="145">
        <v>811</v>
      </c>
      <c r="N101" s="145">
        <v>978</v>
      </c>
      <c r="O101" s="145">
        <v>2362</v>
      </c>
      <c r="P101" s="143">
        <v>4653</v>
      </c>
    </row>
    <row r="102" spans="12:16" ht="13.5">
      <c r="L102" s="143">
        <f>SUM(L97:L101)</f>
        <v>5816</v>
      </c>
      <c r="M102" s="143">
        <f>SUM(M97:M101)</f>
        <v>11640</v>
      </c>
      <c r="N102" s="220">
        <f>SUM(N97:N101)</f>
        <v>18147</v>
      </c>
      <c r="O102" s="143">
        <f>SUM(O97:O101)</f>
        <v>35620</v>
      </c>
      <c r="P102" s="143">
        <f>SUM(P97:P101)</f>
        <v>71817</v>
      </c>
    </row>
    <row r="104" spans="2:16" ht="13.5">
      <c r="B104" s="152" t="s">
        <v>22</v>
      </c>
      <c r="L104" s="145">
        <v>801</v>
      </c>
      <c r="M104" s="145">
        <v>2263</v>
      </c>
      <c r="N104" s="145">
        <v>3504</v>
      </c>
      <c r="O104" s="145">
        <v>6568</v>
      </c>
      <c r="P104" s="143">
        <v>13747</v>
      </c>
    </row>
    <row r="105" spans="2:16" ht="13.5">
      <c r="B105" s="152" t="s">
        <v>24</v>
      </c>
      <c r="L105" s="145">
        <v>190</v>
      </c>
      <c r="M105" s="145">
        <v>275</v>
      </c>
      <c r="N105" s="145">
        <v>652</v>
      </c>
      <c r="O105" s="145">
        <v>1118</v>
      </c>
      <c r="P105" s="143">
        <v>2380</v>
      </c>
    </row>
    <row r="106" spans="2:16" ht="13.5">
      <c r="B106" s="152" t="s">
        <v>26</v>
      </c>
      <c r="L106" s="145">
        <v>199</v>
      </c>
      <c r="M106" s="145">
        <v>231</v>
      </c>
      <c r="N106" s="145">
        <v>457</v>
      </c>
      <c r="O106" s="145">
        <v>888</v>
      </c>
      <c r="P106" s="143">
        <v>1887</v>
      </c>
    </row>
    <row r="107" spans="2:16" ht="13.5">
      <c r="B107" s="152" t="s">
        <v>27</v>
      </c>
      <c r="L107" s="145">
        <v>394</v>
      </c>
      <c r="M107" s="145">
        <v>379</v>
      </c>
      <c r="N107" s="145">
        <v>661</v>
      </c>
      <c r="O107" s="145">
        <v>1435</v>
      </c>
      <c r="P107" s="143">
        <v>3081</v>
      </c>
    </row>
    <row r="108" spans="12:16" ht="13.5">
      <c r="L108" s="143">
        <f>SUM(L104:L107)</f>
        <v>1584</v>
      </c>
      <c r="M108" s="143">
        <f>SUM(M104:M107)</f>
        <v>3148</v>
      </c>
      <c r="N108" s="143">
        <f>SUM(N104:N107)</f>
        <v>5274</v>
      </c>
      <c r="O108" s="143">
        <f>SUM(O104:O107)</f>
        <v>10009</v>
      </c>
      <c r="P108" s="143">
        <f>SUM(P104:P107)</f>
        <v>21095</v>
      </c>
    </row>
    <row r="110" spans="2:16" ht="13.5">
      <c r="B110" s="143" t="s">
        <v>271</v>
      </c>
      <c r="P110" s="143">
        <v>15564</v>
      </c>
    </row>
    <row r="111" spans="2:16" ht="13.5">
      <c r="B111" s="143" t="s">
        <v>272</v>
      </c>
      <c r="P111" s="143">
        <v>6506</v>
      </c>
    </row>
    <row r="112" spans="2:16" ht="13.5">
      <c r="B112" s="143" t="s">
        <v>273</v>
      </c>
      <c r="P112" s="143">
        <v>4102</v>
      </c>
    </row>
    <row r="113" ht="13.5">
      <c r="P113" s="143">
        <f>SUM(P110:P112)</f>
        <v>26172</v>
      </c>
    </row>
  </sheetData>
  <autoFilter ref="A3:R66"/>
  <mergeCells count="1">
    <mergeCell ref="L1:N1"/>
  </mergeCells>
  <printOptions/>
  <pageMargins left="0.75" right="0.75" top="1" bottom="1"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F-Admin</cp:lastModifiedBy>
  <cp:lastPrinted>2009-03-14T06:20:13Z</cp:lastPrinted>
  <dcterms:created xsi:type="dcterms:W3CDTF">2001-02-14T02:43:32Z</dcterms:created>
  <dcterms:modified xsi:type="dcterms:W3CDTF">2009-06-17T04:59:56Z</dcterms:modified>
  <cp:category/>
  <cp:version/>
  <cp:contentType/>
  <cp:contentStatus/>
</cp:coreProperties>
</file>