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5" windowWidth="15480" windowHeight="4875" tabRatio="877" activeTab="0"/>
  </bookViews>
  <sheets>
    <sheet name="第1表" sheetId="1" r:id="rId1"/>
    <sheet name="第2表" sheetId="2" r:id="rId2"/>
    <sheet name="第3表" sheetId="3" r:id="rId3"/>
    <sheet name="第4表5表" sheetId="4" r:id="rId4"/>
    <sheet name="第6表" sheetId="5" r:id="rId5"/>
    <sheet name="第7表8表" sheetId="6" r:id="rId6"/>
    <sheet name="第9表10表" sheetId="7" r:id="rId7"/>
    <sheet name="第11表12表" sheetId="8" r:id="rId8"/>
    <sheet name="第13表14表15表" sheetId="9" r:id="rId9"/>
    <sheet name="第16表17表18表" sheetId="10" r:id="rId10"/>
    <sheet name="第19表20表21表" sheetId="11" r:id="rId11"/>
  </sheets>
  <definedNames>
    <definedName name="_xlnm.Print_Area" localSheetId="7">'第11表12表'!$A$1:$AO$52</definedName>
    <definedName name="_xlnm.Print_Area" localSheetId="8">'第13表14表15表'!$A$1:$L$41</definedName>
    <definedName name="_xlnm.Print_Area" localSheetId="9">'第16表17表18表'!$A$1:$I$47</definedName>
    <definedName name="_xlnm.Print_Area" localSheetId="0">'第1表'!$A$1:$M$46</definedName>
    <definedName name="_xlnm.Print_Area" localSheetId="1">'第2表'!$A$1:$L$53</definedName>
    <definedName name="_xlnm.Print_Area" localSheetId="2">'第3表'!$A$1:$K$50</definedName>
    <definedName name="_xlnm.Print_Area" localSheetId="3">'第4表5表'!$A$1:$P$43</definedName>
    <definedName name="_xlnm.Print_Area" localSheetId="4">'第6表'!$A$1:$K$25</definedName>
    <definedName name="_xlnm.Print_Area" localSheetId="5">'第7表8表'!#REF!</definedName>
    <definedName name="_xlnm.Print_Area" localSheetId="6">'第9表10表'!$A$1:$J$39</definedName>
  </definedNames>
  <calcPr fullCalcOnLoad="1"/>
</workbook>
</file>

<file path=xl/sharedStrings.xml><?xml version="1.0" encoding="utf-8"?>
<sst xmlns="http://schemas.openxmlformats.org/spreadsheetml/2006/main" count="930" uniqueCount="310">
  <si>
    <t>-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</si>
  <si>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</si>
  <si>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</si>
  <si>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</si>
  <si>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</si>
  <si>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</si>
  <si>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</si>
  <si>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</si>
  <si>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</si>
  <si>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</si>
  <si>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</si>
  <si>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保　健　所</t>
  </si>
  <si>
    <t>小学校数</t>
  </si>
  <si>
    <t>派遣回数　　　　　（延べ数）</t>
  </si>
  <si>
    <t>受講児童数　　　　（人）</t>
  </si>
  <si>
    <t>日新殖産(株)副霊山工場</t>
  </si>
  <si>
    <t>冷凍食品</t>
  </si>
  <si>
    <t>乳類加工品</t>
  </si>
  <si>
    <t>飲料類</t>
  </si>
  <si>
    <t>弁当そう菜類</t>
  </si>
  <si>
    <t>調味料</t>
  </si>
  <si>
    <t>牛乳</t>
  </si>
  <si>
    <t>加工乳</t>
  </si>
  <si>
    <t>その他の乳</t>
  </si>
  <si>
    <t>第２表　食品営業施設数（許可を要する施設）、許可・廃業・処分・告発件数・営業監視・監視率・営業の種類別</t>
  </si>
  <si>
    <t>平成13年度</t>
  </si>
  <si>
    <t>第１表　食品営業施設数（許可を要する施設）、営業の種類・年度別</t>
  </si>
  <si>
    <t>業　　　　　種</t>
  </si>
  <si>
    <t>かん詰又はびん詰食品製造業</t>
  </si>
  <si>
    <t>マーガリン又はショートニング製造業</t>
  </si>
  <si>
    <t>総数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</si>
  <si>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</si>
  <si>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</si>
  <si>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</si>
  <si>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</si>
  <si>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</si>
  <si>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</si>
  <si>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</si>
  <si>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</si>
  <si>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</si>
  <si>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</si>
  <si>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</si>
  <si>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</si>
  <si>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</si>
  <si>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</si>
  <si>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</si>
  <si>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</si>
  <si>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</si>
  <si>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</si>
  <si>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</si>
  <si>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</si>
  <si>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</si>
  <si>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</si>
  <si>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</si>
  <si>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</si>
  <si>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</si>
  <si>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</si>
  <si>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</si>
  <si>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</si>
  <si>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</si>
  <si>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</si>
  <si>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</si>
  <si>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営業施設数</t>
  </si>
  <si>
    <t>廃業施設数</t>
  </si>
  <si>
    <t>処分件数</t>
  </si>
  <si>
    <t>告発件数</t>
  </si>
  <si>
    <t>法定年間</t>
  </si>
  <si>
    <t>年間要監視</t>
  </si>
  <si>
    <t>監視率（％）</t>
  </si>
  <si>
    <t>業　　　　　　　　　　種</t>
  </si>
  <si>
    <t>（年度末現在）</t>
  </si>
  <si>
    <t>継　　　続</t>
  </si>
  <si>
    <t>新　　　規</t>
  </si>
  <si>
    <t>（年度中）</t>
  </si>
  <si>
    <t>監視回数</t>
  </si>
  <si>
    <t>回　　　　数</t>
  </si>
  <si>
    <t>乳別牛乳さく取処理業</t>
  </si>
  <si>
    <t>営業許可施設数（年度中）</t>
  </si>
  <si>
    <t>南会津</t>
  </si>
  <si>
    <t>郡山市</t>
  </si>
  <si>
    <t>いわき市</t>
  </si>
  <si>
    <t>県北</t>
  </si>
  <si>
    <t>県中</t>
  </si>
  <si>
    <t>県南</t>
  </si>
  <si>
    <t>会津</t>
  </si>
  <si>
    <t>相双</t>
  </si>
  <si>
    <t>　　　　　　　　　　　　　　　　</t>
  </si>
  <si>
    <t>法定年間監視回数</t>
  </si>
  <si>
    <t>南会津</t>
  </si>
  <si>
    <t>郡山市</t>
  </si>
  <si>
    <t>いわき市</t>
  </si>
  <si>
    <t>監視率（％）</t>
  </si>
  <si>
    <t>営業施設</t>
  </si>
  <si>
    <t>乳さく取業</t>
  </si>
  <si>
    <t>食品製造業</t>
  </si>
  <si>
    <t>野菜果物販売業</t>
  </si>
  <si>
    <t>そうざい販売業</t>
  </si>
  <si>
    <t>菓子（パンを含む）販売業</t>
  </si>
  <si>
    <t>食品販売業（上記以外）</t>
  </si>
  <si>
    <t>添加物の販売業</t>
  </si>
  <si>
    <t>氷雪採取業</t>
  </si>
  <si>
    <t>総　　　　数</t>
  </si>
  <si>
    <t>県　　　　北</t>
  </si>
  <si>
    <t>県　　　　中</t>
  </si>
  <si>
    <t>県　　　　南</t>
  </si>
  <si>
    <t>会　　　　津</t>
  </si>
  <si>
    <t>相　　　　双</t>
  </si>
  <si>
    <t>延監視指導回数</t>
  </si>
  <si>
    <t>法定年間監視</t>
  </si>
  <si>
    <t>又は指導回数</t>
  </si>
  <si>
    <t>その他</t>
  </si>
  <si>
    <t>業種</t>
  </si>
  <si>
    <t>保健所</t>
  </si>
  <si>
    <t>営業施設数（年度末）</t>
  </si>
  <si>
    <t>第９表　食品等の収去検体数（乳以外）、不良理由・食品等の別</t>
  </si>
  <si>
    <t>業　　　　　　　　　　　　種</t>
  </si>
  <si>
    <t>不良理由（延数）</t>
  </si>
  <si>
    <t>大腸菌群</t>
  </si>
  <si>
    <t>異物</t>
  </si>
  <si>
    <t>法定外添加物</t>
  </si>
  <si>
    <t>魚介類加工品</t>
  </si>
  <si>
    <t>穀類及びその加工品</t>
  </si>
  <si>
    <t>菓子類</t>
  </si>
  <si>
    <t>総</t>
  </si>
  <si>
    <t>数</t>
  </si>
  <si>
    <t>月</t>
  </si>
  <si>
    <t>件</t>
  </si>
  <si>
    <t>患</t>
  </si>
  <si>
    <t>死</t>
  </si>
  <si>
    <t>者</t>
  </si>
  <si>
    <t>採取場所</t>
  </si>
  <si>
    <t>原因食品</t>
  </si>
  <si>
    <t>肉類及びその加工品</t>
  </si>
  <si>
    <t>卵類及びその加工品</t>
  </si>
  <si>
    <t>乳類及びその加工品</t>
  </si>
  <si>
    <t>野菜類及びその加工品</t>
  </si>
  <si>
    <t>魚介類</t>
  </si>
  <si>
    <t xml:space="preserve">     きのこ類</t>
  </si>
  <si>
    <t>複合調理品</t>
  </si>
  <si>
    <t>不明</t>
  </si>
  <si>
    <t>家庭</t>
  </si>
  <si>
    <t>事業所</t>
  </si>
  <si>
    <t>学校</t>
  </si>
  <si>
    <t>病院</t>
  </si>
  <si>
    <t>旅館</t>
  </si>
  <si>
    <t>飲食店</t>
  </si>
  <si>
    <t>販売所</t>
  </si>
  <si>
    <t>製造所</t>
  </si>
  <si>
    <t>仕出屋</t>
  </si>
  <si>
    <t xml:space="preserve">  　貝　　　類</t>
  </si>
  <si>
    <t xml:space="preserve">  　そ　の　他</t>
  </si>
  <si>
    <t xml:space="preserve">    魚肉練り製品</t>
  </si>
  <si>
    <t xml:space="preserve">    そ　の　他</t>
  </si>
  <si>
    <t xml:space="preserve">     そ　の　他</t>
  </si>
  <si>
    <t xml:space="preserve">     豆　　　類</t>
  </si>
  <si>
    <t>生乳</t>
  </si>
  <si>
    <t>総数</t>
  </si>
  <si>
    <t>牛乳</t>
  </si>
  <si>
    <t>加工乳</t>
  </si>
  <si>
    <t>部分脱脂乳</t>
  </si>
  <si>
    <t>　　乳脂肪分３％以上</t>
  </si>
  <si>
    <t>　　乳脂肪分３％未満</t>
  </si>
  <si>
    <t>乳脂肪</t>
  </si>
  <si>
    <t>比　　重</t>
  </si>
  <si>
    <t>酸　　度</t>
  </si>
  <si>
    <t>細菌数</t>
  </si>
  <si>
    <t>無脂肪　固形分</t>
  </si>
  <si>
    <t>抗菌性　物質</t>
  </si>
  <si>
    <t>牛</t>
  </si>
  <si>
    <t>馬</t>
  </si>
  <si>
    <t>豚</t>
  </si>
  <si>
    <t>め　ん　羊</t>
  </si>
  <si>
    <t>総　　数</t>
  </si>
  <si>
    <t>山　　羊</t>
  </si>
  <si>
    <t>と　　畜　　場</t>
  </si>
  <si>
    <t>めん羊</t>
  </si>
  <si>
    <t>山羊</t>
  </si>
  <si>
    <t>４月</t>
  </si>
  <si>
    <t>５月</t>
  </si>
  <si>
    <t>１０月</t>
  </si>
  <si>
    <t>１１月</t>
  </si>
  <si>
    <t>１２月</t>
  </si>
  <si>
    <t>１月</t>
  </si>
  <si>
    <t>２月</t>
  </si>
  <si>
    <t>３月</t>
  </si>
  <si>
    <t>月別</t>
  </si>
  <si>
    <t>総数</t>
  </si>
  <si>
    <t>年度</t>
  </si>
  <si>
    <t>食　　　鳥　　　処　　　理　　　場</t>
  </si>
  <si>
    <t>総　　　　　　　　　　　　　　　　　　数</t>
  </si>
  <si>
    <t>福島エーアンドエーブロイラー(株)本社工場</t>
  </si>
  <si>
    <t>登録申請数</t>
  </si>
  <si>
    <t>抑留頭数</t>
  </si>
  <si>
    <t>返還頭数</t>
  </si>
  <si>
    <t>咬傷頭数</t>
  </si>
  <si>
    <t>　　　　　　　　　</t>
  </si>
  <si>
    <t>学科講習（人）</t>
  </si>
  <si>
    <t>実技講習（人）</t>
  </si>
  <si>
    <t>実施回数（回）</t>
  </si>
  <si>
    <t>咬傷犬率頭数（千対）</t>
  </si>
  <si>
    <t>予防注射　頭数</t>
  </si>
  <si>
    <t xml:space="preserve"> 食品生活衛生課調べ </t>
  </si>
  <si>
    <t>回収又は
廃棄命令</t>
  </si>
  <si>
    <t>営業停止
命令</t>
  </si>
  <si>
    <t>営業禁止
命令</t>
  </si>
  <si>
    <t>犬引取頭数</t>
  </si>
  <si>
    <t>第４表　食品営業施設数（許可を要する施設）、延監視数・監視率・保健所別</t>
  </si>
  <si>
    <t>第８表　食品営業施設数（許可を要しない施設）、延監視数・監視率・保健所別</t>
  </si>
  <si>
    <t>第19表　狂犬病予防頭数、年度・保健所別</t>
  </si>
  <si>
    <t>-</t>
  </si>
  <si>
    <t xml:space="preserve">食品生活衛生課調べ </t>
  </si>
  <si>
    <t xml:space="preserve"> 食品生活衛生課調べ </t>
  </si>
  <si>
    <t>仕出し屋・弁当屋</t>
  </si>
  <si>
    <t>一般食堂・レストラン等</t>
  </si>
  <si>
    <t>旅                 館</t>
  </si>
  <si>
    <t>そ       の       他</t>
  </si>
  <si>
    <t>監視率                   （％）</t>
  </si>
  <si>
    <t>営業監視                延    数</t>
  </si>
  <si>
    <t>総　数</t>
  </si>
  <si>
    <t>県　北</t>
  </si>
  <si>
    <t>県　中</t>
  </si>
  <si>
    <t>県　南</t>
  </si>
  <si>
    <t>会　津</t>
  </si>
  <si>
    <t>相　双</t>
  </si>
  <si>
    <t>旅　　　　　館</t>
  </si>
  <si>
    <t>そ　　の　　他</t>
  </si>
  <si>
    <t>学　　　　校</t>
  </si>
  <si>
    <t>病院・診療所</t>
  </si>
  <si>
    <t>事　業　所</t>
  </si>
  <si>
    <t>そ　の　他</t>
  </si>
  <si>
    <t>添加物（法第７条第１項の規定により定められたものを除く）製造業</t>
  </si>
  <si>
    <t>業　　　種</t>
  </si>
  <si>
    <t>器具・容器包装・おもちゃの製造業又は販売業</t>
  </si>
  <si>
    <t>給食施設</t>
  </si>
  <si>
    <t>学　　　校</t>
  </si>
  <si>
    <t>事　業　所</t>
  </si>
  <si>
    <t>添加物（法第７条第１項の規定により規格が定められたものを除く）製造業</t>
  </si>
  <si>
    <t>郡山市</t>
  </si>
  <si>
    <t>告発　件数　　　　　(年中)</t>
  </si>
  <si>
    <t>監視指導　　　　  回  数</t>
  </si>
  <si>
    <t>添加物（法第７条第１項の規定により　　　　　　　　規格が定められたものを除く）製造業</t>
  </si>
  <si>
    <t>病院・診療所</t>
  </si>
  <si>
    <t>試験した           収去検体数　　　（実数）</t>
  </si>
  <si>
    <t>不良          検体数　　(実数)</t>
  </si>
  <si>
    <t>不良           検体数</t>
  </si>
  <si>
    <t>第10表　食品等の検体数（乳）、不良理由・食品等の別</t>
  </si>
  <si>
    <t>試験した           収去                 検体数</t>
  </si>
  <si>
    <t>添加物使用               基準</t>
  </si>
  <si>
    <t>１</t>
  </si>
  <si>
    <t>２</t>
  </si>
  <si>
    <t>事件発生場所</t>
  </si>
  <si>
    <t xml:space="preserve">  　ふ　　　ぐ</t>
  </si>
  <si>
    <t>第11表　食中毒事件、患者数・死者数・原因施設・月別</t>
  </si>
  <si>
    <t>第13表　と畜頭数、獣畜の種類・年度別</t>
  </si>
  <si>
    <t>第14表　と畜頭数、獣畜の種類・月別</t>
  </si>
  <si>
    <t>とく</t>
  </si>
  <si>
    <t>６月</t>
  </si>
  <si>
    <t>７月</t>
  </si>
  <si>
    <t>８月</t>
  </si>
  <si>
    <t>９月</t>
  </si>
  <si>
    <t>第15表　と畜頭数、獣畜の種類・と畜場別</t>
  </si>
  <si>
    <t>-</t>
  </si>
  <si>
    <t>会津食肉                   センター</t>
  </si>
  <si>
    <t>第16表　切迫と畜頭数、獣畜の種類・年次別</t>
  </si>
  <si>
    <t>と　　く</t>
  </si>
  <si>
    <t>第17表　食肉検査羽数、食鳥処理場</t>
  </si>
  <si>
    <t>畜　　　犬     登録頭数</t>
  </si>
  <si>
    <r>
      <t>平成</t>
    </r>
    <r>
      <rPr>
        <sz val="11"/>
        <rFont val="ＪＳ明朝"/>
        <family val="1"/>
      </rPr>
      <t>7</t>
    </r>
    <r>
      <rPr>
        <sz val="11"/>
        <rFont val="HGP教科書体"/>
        <family val="1"/>
      </rPr>
      <t>年度</t>
    </r>
  </si>
  <si>
    <t>第20表　飼い犬のしつけ方教室</t>
  </si>
  <si>
    <t>第21表　小学校への獣医師派遣</t>
  </si>
  <si>
    <t>低脂肪牛乳</t>
  </si>
  <si>
    <t>出典：衛生行政報告例</t>
  </si>
  <si>
    <t>添加物（法第７条第１項の規定により規格が定められたものに限る）製造業</t>
  </si>
  <si>
    <t>郡　　　　山　　　　市</t>
  </si>
  <si>
    <t>い　 　わ 　　き 　　市</t>
  </si>
  <si>
    <t>南　　　　会　　　　津</t>
  </si>
  <si>
    <t>４</t>
  </si>
  <si>
    <t>　</t>
  </si>
  <si>
    <t xml:space="preserve">食品生活衛生課調べ </t>
  </si>
  <si>
    <t>添加物（法第７条第１項の規定により                規格が定められたものに限る）製造業</t>
  </si>
  <si>
    <t>第３表　食品営業施設数（許可を要する施設）、営業の種類・保健所別</t>
  </si>
  <si>
    <t>延監視数</t>
  </si>
  <si>
    <t>第５表　食品営業施設数（許可を要しない施設）、営業の種類・年度別</t>
  </si>
  <si>
    <t>第６表　食品営業施設数（許可を要しない施設）、営業の種類・保健所別</t>
  </si>
  <si>
    <t>第７表　食品営業施設数（許可を要しない施設）、監視率・処分・告発件数・営業の種類別</t>
  </si>
  <si>
    <t>獣畜の種類</t>
  </si>
  <si>
    <r>
      <t>平成</t>
    </r>
    <r>
      <rPr>
        <sz val="11"/>
        <rFont val="ＪＳ明朝"/>
        <family val="1"/>
      </rPr>
      <t>12</t>
    </r>
    <r>
      <rPr>
        <sz val="12"/>
        <rFont val="HGP教科書体"/>
        <family val="1"/>
      </rPr>
      <t>年度</t>
    </r>
  </si>
  <si>
    <t>飲食店営業</t>
  </si>
  <si>
    <t>添加物（法第７条第１項の規定により                                     規格が定められたものに限る）製造業</t>
  </si>
  <si>
    <t>飲食店営業　</t>
  </si>
  <si>
    <r>
      <t>平成</t>
    </r>
    <r>
      <rPr>
        <sz val="11"/>
        <rFont val="ＪＳ明朝"/>
        <family val="1"/>
      </rPr>
      <t>12</t>
    </r>
    <r>
      <rPr>
        <sz val="12"/>
        <rFont val="HGP教科書体"/>
        <family val="1"/>
      </rPr>
      <t>年度</t>
    </r>
  </si>
  <si>
    <t>給食施設</t>
  </si>
  <si>
    <t>第12表　食中毒事件、患者数・死者数・原因食品・月別</t>
  </si>
  <si>
    <r>
      <t>平成</t>
    </r>
    <r>
      <rPr>
        <sz val="10"/>
        <rFont val="ＪＳ明朝"/>
        <family val="1"/>
      </rPr>
      <t>6</t>
    </r>
    <r>
      <rPr>
        <sz val="11"/>
        <rFont val="HGP教科書体"/>
        <family val="1"/>
      </rPr>
      <t>年度</t>
    </r>
  </si>
  <si>
    <t>福島県農業総合センター畜産研究所</t>
  </si>
  <si>
    <t>福島県食肉　　流通センター</t>
  </si>
  <si>
    <t>（キロリットル）</t>
  </si>
  <si>
    <t>第18表　牛乳処理量、乳の種類・保健所別</t>
  </si>
  <si>
    <t>平成 23 年度</t>
  </si>
  <si>
    <t>平成 23 年度</t>
  </si>
  <si>
    <t>平成 23 年度</t>
  </si>
  <si>
    <t>平成 23 年</t>
  </si>
  <si>
    <t>平成 23 年</t>
  </si>
  <si>
    <t>平成 23 年度</t>
  </si>
  <si>
    <t xml:space="preserve"> </t>
  </si>
  <si>
    <t>魚介類及びその加工品</t>
  </si>
  <si>
    <t>食肉・卵及びその加工品</t>
  </si>
  <si>
    <t>穀類・豆類及びその加工品</t>
  </si>
  <si>
    <t>果実・野菜類及びその加工品</t>
  </si>
  <si>
    <t>乳及び乳製品の成分規格のある事項に関する検査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</si>
</sst>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0.0_);[Red]\(0.0\)"/>
    <numFmt numFmtId="180" formatCode="#,##0.0_ ;[Red]\-#,##0.0\ "/>
    <numFmt numFmtId="181" formatCode="#,##0_ "/>
    <numFmt numFmtId="182" formatCode="_ * #,##0.0_ ;_ * \-#,##0.0_ ;_ * &quot;-&quot;?_ ;_ @_ "/>
    <numFmt numFmtId="183" formatCode="#,##0_);[Red]\(#,##0\)"/>
    <numFmt numFmtId="184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sz val="11"/>
      <name val="標準明朝"/>
      <family val="1"/>
    </font>
    <font>
      <sz val="11"/>
      <name val="HGP教科書体"/>
      <family val="1"/>
    </font>
    <font>
      <sz val="12"/>
      <name val="HGP教科書体"/>
      <family val="1"/>
    </font>
    <font>
      <sz val="11"/>
      <name val="HGPｺﾞｼｯｸM"/>
      <family val="3"/>
    </font>
    <font>
      <sz val="14"/>
      <name val="HGP教科書体"/>
      <family val="1"/>
    </font>
    <font>
      <sz val="12"/>
      <name val="HGPｺﾞｼｯｸM"/>
      <family val="3"/>
    </font>
    <font>
      <sz val="8"/>
      <name val="HGP教科書体"/>
      <family val="1"/>
    </font>
    <font>
      <sz val="11"/>
      <name val="ＪＳ明朝"/>
      <family val="1"/>
    </font>
    <font>
      <sz val="13"/>
      <name val="ＭＳ 明朝"/>
      <family val="1"/>
    </font>
    <font>
      <sz val="10"/>
      <name val="ＪＳ明朝"/>
      <family val="1"/>
    </font>
    <font>
      <sz val="14"/>
      <name val="HGPｺﾞｼｯｸM"/>
      <family val="3"/>
    </font>
    <font>
      <sz val="14"/>
      <name val="ＪＳ明朝"/>
      <family val="1"/>
    </font>
    <font>
      <b/>
      <sz val="14"/>
      <name val="ＭＳ 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HGPｺﾞｼｯｸM"/>
      <family val="3"/>
    </font>
    <font>
      <sz val="13"/>
      <color indexed="8"/>
      <name val="HGPｺﾞｼｯｸM"/>
      <family val="3"/>
    </font>
    <font>
      <sz val="11"/>
      <name val="ＭＳ Ｐ明朝"/>
      <family val="1"/>
    </font>
    <font>
      <sz val="9"/>
      <name val="HGP教科書体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HGP教科書体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7" fillId="0" borderId="0">
      <alignment/>
      <protection/>
    </xf>
    <xf numFmtId="0" fontId="62" fillId="31" borderId="0" applyNumberFormat="0" applyBorder="0" applyAlignment="0" applyProtection="0"/>
  </cellStyleXfs>
  <cellXfs count="6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8" fontId="2" fillId="0" borderId="10" xfId="48" applyFont="1" applyBorder="1" applyAlignment="1">
      <alignment horizontal="right"/>
    </xf>
    <xf numFmtId="3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8" fontId="2" fillId="0" borderId="0" xfId="48" applyFont="1" applyBorder="1" applyAlignment="1">
      <alignment/>
    </xf>
    <xf numFmtId="41" fontId="2" fillId="0" borderId="0" xfId="0" applyNumberFormat="1" applyFont="1" applyAlignment="1">
      <alignment/>
    </xf>
    <xf numFmtId="179" fontId="2" fillId="0" borderId="10" xfId="0" applyNumberFormat="1" applyFont="1" applyBorder="1" applyAlignment="1">
      <alignment/>
    </xf>
    <xf numFmtId="38" fontId="2" fillId="0" borderId="0" xfId="48" applyFont="1" applyAlignment="1">
      <alignment/>
    </xf>
    <xf numFmtId="41" fontId="2" fillId="0" borderId="0" xfId="4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179" fontId="2" fillId="0" borderId="0" xfId="48" applyNumberFormat="1" applyFont="1" applyBorder="1" applyAlignment="1">
      <alignment/>
    </xf>
    <xf numFmtId="0" fontId="2" fillId="0" borderId="0" xfId="0" applyFont="1" applyAlignment="1">
      <alignment horizontal="distributed" vertical="center"/>
    </xf>
    <xf numFmtId="38" fontId="2" fillId="0" borderId="0" xfId="48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181" fontId="2" fillId="0" borderId="10" xfId="0" applyNumberFormat="1" applyFont="1" applyBorder="1" applyAlignment="1">
      <alignment horizontal="right"/>
    </xf>
    <xf numFmtId="18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8" fontId="2" fillId="0" borderId="0" xfId="48" applyFont="1" applyAlignment="1">
      <alignment horizontal="center" vertical="center"/>
    </xf>
    <xf numFmtId="38" fontId="4" fillId="0" borderId="0" xfId="48" applyFont="1" applyAlignment="1">
      <alignment/>
    </xf>
    <xf numFmtId="38" fontId="2" fillId="0" borderId="0" xfId="48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79" fontId="2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38" fontId="10" fillId="0" borderId="13" xfId="48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179" fontId="2" fillId="32" borderId="0" xfId="0" applyNumberFormat="1" applyFont="1" applyFill="1" applyAlignment="1">
      <alignment horizontal="right"/>
    </xf>
    <xf numFmtId="0" fontId="8" fillId="32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179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41" fontId="10" fillId="0" borderId="16" xfId="48" applyNumberFormat="1" applyFont="1" applyBorder="1" applyAlignment="1">
      <alignment horizontal="right"/>
    </xf>
    <xf numFmtId="41" fontId="10" fillId="0" borderId="13" xfId="48" applyNumberFormat="1" applyFont="1" applyBorder="1" applyAlignment="1">
      <alignment horizontal="right"/>
    </xf>
    <xf numFmtId="0" fontId="8" fillId="0" borderId="17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distributed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8" fontId="10" fillId="0" borderId="16" xfId="48" applyFont="1" applyBorder="1" applyAlignment="1">
      <alignment/>
    </xf>
    <xf numFmtId="38" fontId="10" fillId="0" borderId="19" xfId="48" applyFont="1" applyBorder="1" applyAlignment="1">
      <alignment/>
    </xf>
    <xf numFmtId="41" fontId="10" fillId="0" borderId="13" xfId="48" applyNumberFormat="1" applyFont="1" applyBorder="1" applyAlignment="1">
      <alignment/>
    </xf>
    <xf numFmtId="41" fontId="10" fillId="0" borderId="16" xfId="48" applyNumberFormat="1" applyFont="1" applyBorder="1" applyAlignment="1">
      <alignment/>
    </xf>
    <xf numFmtId="41" fontId="10" fillId="0" borderId="0" xfId="48" applyNumberFormat="1" applyFont="1" applyBorder="1" applyAlignment="1">
      <alignment/>
    </xf>
    <xf numFmtId="41" fontId="10" fillId="0" borderId="16" xfId="48" applyNumberFormat="1" applyFont="1" applyFill="1" applyBorder="1" applyAlignment="1">
      <alignment/>
    </xf>
    <xf numFmtId="41" fontId="10" fillId="0" borderId="13" xfId="48" applyNumberFormat="1" applyFont="1" applyFill="1" applyBorder="1" applyAlignment="1">
      <alignment/>
    </xf>
    <xf numFmtId="41" fontId="10" fillId="0" borderId="19" xfId="48" applyNumberFormat="1" applyFont="1" applyBorder="1" applyAlignment="1">
      <alignment/>
    </xf>
    <xf numFmtId="41" fontId="10" fillId="0" borderId="20" xfId="48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1" fontId="10" fillId="0" borderId="0" xfId="48" applyNumberFormat="1" applyFont="1" applyAlignment="1">
      <alignment/>
    </xf>
    <xf numFmtId="0" fontId="3" fillId="0" borderId="0" xfId="0" applyFont="1" applyBorder="1" applyAlignment="1">
      <alignment/>
    </xf>
    <xf numFmtId="38" fontId="10" fillId="0" borderId="0" xfId="48" applyFont="1" applyAlignment="1">
      <alignment/>
    </xf>
    <xf numFmtId="179" fontId="10" fillId="0" borderId="0" xfId="0" applyNumberFormat="1" applyFont="1" applyAlignment="1">
      <alignment/>
    </xf>
    <xf numFmtId="38" fontId="10" fillId="0" borderId="10" xfId="48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distributed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shrinkToFit="1"/>
    </xf>
    <xf numFmtId="41" fontId="10" fillId="0" borderId="17" xfId="48" applyNumberFormat="1" applyFont="1" applyFill="1" applyBorder="1" applyAlignment="1">
      <alignment/>
    </xf>
    <xf numFmtId="41" fontId="10" fillId="0" borderId="0" xfId="48" applyNumberFormat="1" applyFont="1" applyFill="1" applyAlignment="1">
      <alignment/>
    </xf>
    <xf numFmtId="0" fontId="3" fillId="0" borderId="0" xfId="0" applyFont="1" applyFill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8" fontId="8" fillId="0" borderId="15" xfId="48" applyFont="1" applyFill="1" applyBorder="1" applyAlignment="1">
      <alignment horizontal="center" vertical="center" wrapText="1"/>
    </xf>
    <xf numFmtId="38" fontId="8" fillId="0" borderId="23" xfId="48" applyFont="1" applyFill="1" applyBorder="1" applyAlignment="1">
      <alignment horizontal="center" vertical="center" wrapText="1"/>
    </xf>
    <xf numFmtId="38" fontId="8" fillId="0" borderId="21" xfId="4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41" fontId="10" fillId="0" borderId="0" xfId="48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 horizontal="right"/>
    </xf>
    <xf numFmtId="41" fontId="10" fillId="0" borderId="13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8" fillId="32" borderId="21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right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distributed"/>
    </xf>
    <xf numFmtId="0" fontId="8" fillId="32" borderId="17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9" fillId="32" borderId="24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distributed"/>
    </xf>
    <xf numFmtId="0" fontId="9" fillId="32" borderId="17" xfId="0" applyFont="1" applyFill="1" applyBorder="1" applyAlignment="1">
      <alignment/>
    </xf>
    <xf numFmtId="0" fontId="9" fillId="32" borderId="18" xfId="0" applyFont="1" applyFill="1" applyBorder="1" applyAlignment="1">
      <alignment horizontal="distributed"/>
    </xf>
    <xf numFmtId="49" fontId="8" fillId="32" borderId="14" xfId="0" applyNumberFormat="1" applyFont="1" applyFill="1" applyBorder="1" applyAlignment="1">
      <alignment horizontal="center"/>
    </xf>
    <xf numFmtId="41" fontId="10" fillId="0" borderId="16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1" fontId="12" fillId="0" borderId="16" xfId="48" applyNumberFormat="1" applyFont="1" applyBorder="1" applyAlignment="1">
      <alignment/>
    </xf>
    <xf numFmtId="41" fontId="12" fillId="0" borderId="0" xfId="48" applyNumberFormat="1" applyFont="1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41" fontId="12" fillId="0" borderId="13" xfId="48" applyNumberFormat="1" applyFont="1" applyBorder="1" applyAlignment="1">
      <alignment/>
    </xf>
    <xf numFmtId="0" fontId="8" fillId="0" borderId="2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82" fontId="10" fillId="0" borderId="0" xfId="48" applyNumberFormat="1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8" fillId="0" borderId="30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184" fontId="2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2" fillId="32" borderId="10" xfId="0" applyFont="1" applyFill="1" applyBorder="1" applyAlignment="1">
      <alignment horizontal="right"/>
    </xf>
    <xf numFmtId="41" fontId="2" fillId="0" borderId="0" xfId="0" applyNumberFormat="1" applyFont="1" applyBorder="1" applyAlignment="1">
      <alignment/>
    </xf>
    <xf numFmtId="0" fontId="8" fillId="32" borderId="12" xfId="0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distributed"/>
    </xf>
    <xf numFmtId="0" fontId="8" fillId="32" borderId="3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distributed" shrinkToFit="1"/>
    </xf>
    <xf numFmtId="0" fontId="9" fillId="32" borderId="20" xfId="0" applyFont="1" applyFill="1" applyBorder="1" applyAlignment="1">
      <alignment horizontal="distributed" shrinkToFit="1"/>
    </xf>
    <xf numFmtId="0" fontId="9" fillId="32" borderId="33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right" vertical="center"/>
    </xf>
    <xf numFmtId="0" fontId="9" fillId="32" borderId="33" xfId="0" applyFont="1" applyFill="1" applyBorder="1" applyAlignment="1">
      <alignment horizontal="left" shrinkToFit="1"/>
    </xf>
    <xf numFmtId="0" fontId="9" fillId="32" borderId="13" xfId="0" applyFont="1" applyFill="1" applyBorder="1" applyAlignment="1">
      <alignment horizontal="left" shrinkToFit="1"/>
    </xf>
    <xf numFmtId="0" fontId="9" fillId="32" borderId="15" xfId="0" applyFont="1" applyFill="1" applyBorder="1" applyAlignment="1">
      <alignment horizontal="right" shrinkToFit="1"/>
    </xf>
    <xf numFmtId="0" fontId="14" fillId="0" borderId="12" xfId="0" applyFont="1" applyBorder="1" applyAlignment="1">
      <alignment horizontal="center" vertical="center" shrinkToFit="1"/>
    </xf>
    <xf numFmtId="38" fontId="14" fillId="0" borderId="12" xfId="48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10" xfId="0" applyFont="1" applyBorder="1" applyAlignment="1">
      <alignment horizontal="distributed"/>
    </xf>
    <xf numFmtId="38" fontId="17" fillId="0" borderId="13" xfId="48" applyFont="1" applyBorder="1" applyAlignment="1">
      <alignment horizontal="right" shrinkToFit="1"/>
    </xf>
    <xf numFmtId="38" fontId="17" fillId="0" borderId="13" xfId="48" applyFont="1" applyFill="1" applyBorder="1" applyAlignment="1">
      <alignment horizontal="right" shrinkToFit="1"/>
    </xf>
    <xf numFmtId="38" fontId="17" fillId="0" borderId="16" xfId="48" applyFont="1" applyFill="1" applyBorder="1" applyAlignment="1">
      <alignment horizontal="right" shrinkToFit="1"/>
    </xf>
    <xf numFmtId="38" fontId="17" fillId="0" borderId="0" xfId="48" applyFont="1" applyFill="1" applyBorder="1" applyAlignment="1">
      <alignment horizontal="right" shrinkToFit="1"/>
    </xf>
    <xf numFmtId="38" fontId="17" fillId="0" borderId="16" xfId="48" applyFont="1" applyBorder="1" applyAlignment="1">
      <alignment horizontal="right" shrinkToFit="1"/>
    </xf>
    <xf numFmtId="0" fontId="17" fillId="0" borderId="13" xfId="0" applyFont="1" applyBorder="1" applyAlignment="1">
      <alignment shrinkToFit="1"/>
    </xf>
    <xf numFmtId="0" fontId="17" fillId="0" borderId="16" xfId="0" applyFont="1" applyBorder="1" applyAlignment="1">
      <alignment shrinkToFit="1"/>
    </xf>
    <xf numFmtId="0" fontId="17" fillId="0" borderId="0" xfId="0" applyFont="1" applyAlignment="1">
      <alignment shrinkToFit="1"/>
    </xf>
    <xf numFmtId="38" fontId="17" fillId="0" borderId="13" xfId="48" applyFont="1" applyBorder="1" applyAlignment="1">
      <alignment shrinkToFit="1"/>
    </xf>
    <xf numFmtId="0" fontId="17" fillId="0" borderId="13" xfId="0" applyFont="1" applyBorder="1" applyAlignment="1">
      <alignment horizontal="right" shrinkToFit="1"/>
    </xf>
    <xf numFmtId="0" fontId="17" fillId="0" borderId="16" xfId="0" applyFont="1" applyBorder="1" applyAlignment="1">
      <alignment horizontal="right" shrinkToFit="1"/>
    </xf>
    <xf numFmtId="0" fontId="17" fillId="0" borderId="0" xfId="0" applyFont="1" applyAlignment="1">
      <alignment horizontal="right" shrinkToFit="1"/>
    </xf>
    <xf numFmtId="38" fontId="17" fillId="0" borderId="19" xfId="48" applyFont="1" applyBorder="1" applyAlignment="1">
      <alignment horizontal="right" shrinkToFit="1"/>
    </xf>
    <xf numFmtId="38" fontId="17" fillId="0" borderId="20" xfId="48" applyFont="1" applyBorder="1" applyAlignment="1">
      <alignment horizontal="right" shrinkToFit="1"/>
    </xf>
    <xf numFmtId="38" fontId="17" fillId="0" borderId="20" xfId="48" applyFont="1" applyFill="1" applyBorder="1" applyAlignment="1">
      <alignment horizontal="right" shrinkToFit="1"/>
    </xf>
    <xf numFmtId="38" fontId="17" fillId="0" borderId="19" xfId="48" applyFont="1" applyFill="1" applyBorder="1" applyAlignment="1">
      <alignment horizontal="right" shrinkToFit="1"/>
    </xf>
    <xf numFmtId="38" fontId="17" fillId="0" borderId="10" xfId="48" applyFont="1" applyFill="1" applyBorder="1" applyAlignment="1">
      <alignment horizontal="right" shrinkToFit="1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distributed" vertical="center"/>
    </xf>
    <xf numFmtId="0" fontId="11" fillId="0" borderId="3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179" fontId="2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41" fontId="12" fillId="0" borderId="13" xfId="48" applyNumberFormat="1" applyFont="1" applyBorder="1" applyAlignment="1">
      <alignment shrinkToFit="1"/>
    </xf>
    <xf numFmtId="41" fontId="12" fillId="0" borderId="16" xfId="48" applyNumberFormat="1" applyFont="1" applyBorder="1" applyAlignment="1">
      <alignment shrinkToFit="1"/>
    </xf>
    <xf numFmtId="41" fontId="12" fillId="0" borderId="0" xfId="48" applyNumberFormat="1" applyFont="1" applyBorder="1" applyAlignment="1">
      <alignment shrinkToFit="1"/>
    </xf>
    <xf numFmtId="41" fontId="12" fillId="0" borderId="16" xfId="48" applyNumberFormat="1" applyFont="1" applyFill="1" applyBorder="1" applyAlignment="1">
      <alignment shrinkToFit="1"/>
    </xf>
    <xf numFmtId="41" fontId="12" fillId="0" borderId="13" xfId="48" applyNumberFormat="1" applyFont="1" applyFill="1" applyBorder="1" applyAlignment="1">
      <alignment shrinkToFit="1"/>
    </xf>
    <xf numFmtId="41" fontId="12" fillId="0" borderId="13" xfId="48" applyNumberFormat="1" applyFont="1" applyBorder="1" applyAlignment="1">
      <alignment vertical="center" shrinkToFit="1"/>
    </xf>
    <xf numFmtId="41" fontId="12" fillId="0" borderId="16" xfId="48" applyNumberFormat="1" applyFont="1" applyFill="1" applyBorder="1" applyAlignment="1">
      <alignment vertical="center" shrinkToFit="1"/>
    </xf>
    <xf numFmtId="41" fontId="12" fillId="0" borderId="13" xfId="48" applyNumberFormat="1" applyFont="1" applyFill="1" applyBorder="1" applyAlignment="1">
      <alignment vertical="center" shrinkToFit="1"/>
    </xf>
    <xf numFmtId="41" fontId="12" fillId="0" borderId="19" xfId="48" applyNumberFormat="1" applyFont="1" applyBorder="1" applyAlignment="1">
      <alignment vertical="center" shrinkToFit="1"/>
    </xf>
    <xf numFmtId="41" fontId="12" fillId="0" borderId="20" xfId="48" applyNumberFormat="1" applyFont="1" applyBorder="1" applyAlignment="1">
      <alignment vertical="center" shrinkToFit="1"/>
    </xf>
    <xf numFmtId="0" fontId="10" fillId="0" borderId="13" xfId="0" applyFont="1" applyBorder="1" applyAlignment="1">
      <alignment shrinkToFit="1"/>
    </xf>
    <xf numFmtId="41" fontId="12" fillId="0" borderId="17" xfId="48" applyNumberFormat="1" applyFont="1" applyBorder="1" applyAlignment="1">
      <alignment shrinkToFit="1"/>
    </xf>
    <xf numFmtId="41" fontId="12" fillId="33" borderId="0" xfId="0" applyNumberFormat="1" applyFont="1" applyFill="1" applyAlignment="1">
      <alignment shrinkToFit="1"/>
    </xf>
    <xf numFmtId="41" fontId="12" fillId="33" borderId="0" xfId="48" applyNumberFormat="1" applyFont="1" applyFill="1" applyBorder="1" applyAlignment="1">
      <alignment shrinkToFit="1"/>
    </xf>
    <xf numFmtId="41" fontId="12" fillId="0" borderId="13" xfId="0" applyNumberFormat="1" applyFont="1" applyBorder="1" applyAlignment="1">
      <alignment shrinkToFit="1"/>
    </xf>
    <xf numFmtId="0" fontId="12" fillId="0" borderId="0" xfId="0" applyFont="1" applyAlignment="1">
      <alignment shrinkToFit="1"/>
    </xf>
    <xf numFmtId="182" fontId="12" fillId="0" borderId="0" xfId="48" applyNumberFormat="1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10" xfId="0" applyFont="1" applyBorder="1" applyAlignment="1">
      <alignment shrinkToFit="1"/>
    </xf>
    <xf numFmtId="0" fontId="21" fillId="0" borderId="0" xfId="0" applyFont="1" applyAlignment="1">
      <alignment vertical="center" wrapText="1"/>
    </xf>
    <xf numFmtId="41" fontId="12" fillId="0" borderId="0" xfId="48" applyNumberFormat="1" applyFont="1" applyAlignment="1">
      <alignment/>
    </xf>
    <xf numFmtId="0" fontId="11" fillId="0" borderId="1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16" fillId="0" borderId="0" xfId="0" applyFont="1" applyBorder="1" applyAlignment="1">
      <alignment horizontal="distributed"/>
    </xf>
    <xf numFmtId="38" fontId="2" fillId="0" borderId="0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distributed"/>
    </xf>
    <xf numFmtId="41" fontId="11" fillId="0" borderId="11" xfId="0" applyNumberFormat="1" applyFont="1" applyBorder="1" applyAlignment="1">
      <alignment horizontal="distributed" vertical="center"/>
    </xf>
    <xf numFmtId="41" fontId="11" fillId="0" borderId="12" xfId="0" applyNumberFormat="1" applyFont="1" applyBorder="1" applyAlignment="1">
      <alignment horizontal="distributed" vertical="center"/>
    </xf>
    <xf numFmtId="41" fontId="11" fillId="0" borderId="12" xfId="0" applyNumberFormat="1" applyFont="1" applyBorder="1" applyAlignment="1">
      <alignment horizontal="distributed" vertical="center" shrinkToFit="1"/>
    </xf>
    <xf numFmtId="0" fontId="2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38" fontId="10" fillId="34" borderId="0" xfId="48" applyFont="1" applyFill="1" applyAlignment="1">
      <alignment/>
    </xf>
    <xf numFmtId="38" fontId="10" fillId="34" borderId="10" xfId="48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10" fillId="0" borderId="16" xfId="48" applyFont="1" applyFill="1" applyBorder="1" applyAlignment="1">
      <alignment/>
    </xf>
    <xf numFmtId="38" fontId="10" fillId="0" borderId="0" xfId="48" applyFont="1" applyFill="1" applyAlignment="1">
      <alignment/>
    </xf>
    <xf numFmtId="179" fontId="10" fillId="0" borderId="16" xfId="48" applyNumberFormat="1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26" fillId="0" borderId="17" xfId="0" applyFont="1" applyBorder="1" applyAlignment="1">
      <alignment horizontal="distributed"/>
    </xf>
    <xf numFmtId="0" fontId="9" fillId="0" borderId="0" xfId="0" applyFont="1" applyFill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41" fontId="10" fillId="0" borderId="0" xfId="50" applyNumberFormat="1" applyFont="1" applyFill="1" applyAlignment="1">
      <alignment horizontal="right"/>
    </xf>
    <xf numFmtId="41" fontId="10" fillId="0" borderId="16" xfId="50" applyNumberFormat="1" applyFont="1" applyFill="1" applyBorder="1" applyAlignment="1">
      <alignment/>
    </xf>
    <xf numFmtId="41" fontId="10" fillId="0" borderId="0" xfId="50" applyNumberFormat="1" applyFont="1" applyFill="1" applyAlignment="1">
      <alignment/>
    </xf>
    <xf numFmtId="0" fontId="8" fillId="0" borderId="21" xfId="0" applyFont="1" applyFill="1" applyBorder="1" applyAlignment="1">
      <alignment horizontal="centerContinuous" shrinkToFit="1"/>
    </xf>
    <xf numFmtId="0" fontId="8" fillId="0" borderId="22" xfId="0" applyFont="1" applyFill="1" applyBorder="1" applyAlignment="1">
      <alignment horizontal="centerContinuous" shrinkToFit="1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1" fontId="17" fillId="0" borderId="13" xfId="0" applyNumberFormat="1" applyFont="1" applyFill="1" applyBorder="1" applyAlignment="1">
      <alignment shrinkToFit="1"/>
    </xf>
    <xf numFmtId="38" fontId="2" fillId="0" borderId="0" xfId="48" applyFont="1" applyFill="1" applyAlignment="1">
      <alignment/>
    </xf>
    <xf numFmtId="41" fontId="17" fillId="0" borderId="16" xfId="48" applyNumberFormat="1" applyFont="1" applyFill="1" applyBorder="1" applyAlignment="1">
      <alignment horizontal="right" shrinkToFit="1"/>
    </xf>
    <xf numFmtId="41" fontId="17" fillId="0" borderId="0" xfId="48" applyNumberFormat="1" applyFont="1" applyFill="1" applyAlignment="1">
      <alignment horizontal="right" shrinkToFit="1"/>
    </xf>
    <xf numFmtId="41" fontId="17" fillId="0" borderId="13" xfId="48" applyNumberFormat="1" applyFont="1" applyFill="1" applyBorder="1" applyAlignment="1">
      <alignment horizontal="right" shrinkToFit="1"/>
    </xf>
    <xf numFmtId="182" fontId="17" fillId="0" borderId="13" xfId="48" applyNumberFormat="1" applyFont="1" applyFill="1" applyBorder="1" applyAlignment="1">
      <alignment horizontal="right" shrinkToFit="1"/>
    </xf>
    <xf numFmtId="41" fontId="23" fillId="0" borderId="0" xfId="48" applyNumberFormat="1" applyFont="1" applyAlignment="1">
      <alignment horizontal="right" shrinkToFit="1"/>
    </xf>
    <xf numFmtId="41" fontId="23" fillId="0" borderId="16" xfId="48" applyNumberFormat="1" applyFont="1" applyBorder="1" applyAlignment="1">
      <alignment horizontal="right" shrinkToFit="1"/>
    </xf>
    <xf numFmtId="41" fontId="23" fillId="0" borderId="13" xfId="48" applyNumberFormat="1" applyFont="1" applyBorder="1" applyAlignment="1">
      <alignment horizontal="right" shrinkToFit="1"/>
    </xf>
    <xf numFmtId="41" fontId="10" fillId="32" borderId="13" xfId="0" applyNumberFormat="1" applyFont="1" applyFill="1" applyBorder="1" applyAlignment="1">
      <alignment shrinkToFit="1"/>
    </xf>
    <xf numFmtId="41" fontId="10" fillId="32" borderId="0" xfId="0" applyNumberFormat="1" applyFont="1" applyFill="1" applyBorder="1" applyAlignment="1">
      <alignment shrinkToFit="1"/>
    </xf>
    <xf numFmtId="41" fontId="10" fillId="32" borderId="17" xfId="0" applyNumberFormat="1" applyFont="1" applyFill="1" applyBorder="1" applyAlignment="1">
      <alignment shrinkToFit="1"/>
    </xf>
    <xf numFmtId="0" fontId="18" fillId="0" borderId="12" xfId="0" applyFont="1" applyFill="1" applyBorder="1" applyAlignment="1">
      <alignment horizontal="center" vertical="center"/>
    </xf>
    <xf numFmtId="38" fontId="17" fillId="0" borderId="32" xfId="48" applyFont="1" applyFill="1" applyBorder="1" applyAlignment="1">
      <alignment shrinkToFit="1"/>
    </xf>
    <xf numFmtId="0" fontId="17" fillId="0" borderId="13" xfId="0" applyFont="1" applyFill="1" applyBorder="1" applyAlignment="1">
      <alignment shrinkToFit="1"/>
    </xf>
    <xf numFmtId="41" fontId="17" fillId="0" borderId="13" xfId="0" applyNumberFormat="1" applyFont="1" applyFill="1" applyBorder="1" applyAlignment="1">
      <alignment horizontal="right" shrinkToFit="1"/>
    </xf>
    <xf numFmtId="41" fontId="17" fillId="0" borderId="20" xfId="0" applyNumberFormat="1" applyFont="1" applyFill="1" applyBorder="1" applyAlignment="1">
      <alignment shrinkToFit="1"/>
    </xf>
    <xf numFmtId="38" fontId="2" fillId="0" borderId="0" xfId="48" applyFont="1" applyFill="1" applyAlignment="1">
      <alignment horizontal="center" vertical="center"/>
    </xf>
    <xf numFmtId="38" fontId="14" fillId="0" borderId="12" xfId="48" applyFont="1" applyFill="1" applyBorder="1" applyAlignment="1">
      <alignment horizontal="center" vertical="center" shrinkToFit="1"/>
    </xf>
    <xf numFmtId="41" fontId="12" fillId="0" borderId="20" xfId="48" applyNumberFormat="1" applyFont="1" applyFill="1" applyBorder="1" applyAlignment="1">
      <alignment vertical="center" shrinkToFit="1"/>
    </xf>
    <xf numFmtId="41" fontId="12" fillId="0" borderId="0" xfId="48" applyNumberFormat="1" applyFont="1" applyFill="1" applyBorder="1" applyAlignment="1">
      <alignment shrinkToFit="1"/>
    </xf>
    <xf numFmtId="41" fontId="12" fillId="0" borderId="0" xfId="48" applyNumberFormat="1" applyFont="1" applyFill="1" applyAlignment="1">
      <alignment/>
    </xf>
    <xf numFmtId="41" fontId="12" fillId="0" borderId="16" xfId="48" applyNumberFormat="1" applyFont="1" applyFill="1" applyBorder="1" applyAlignment="1">
      <alignment/>
    </xf>
    <xf numFmtId="41" fontId="12" fillId="0" borderId="13" xfId="48" applyNumberFormat="1" applyFont="1" applyFill="1" applyBorder="1" applyAlignment="1">
      <alignment/>
    </xf>
    <xf numFmtId="41" fontId="12" fillId="0" borderId="16" xfId="4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41" fontId="10" fillId="0" borderId="26" xfId="48" applyNumberFormat="1" applyFont="1" applyFill="1" applyBorder="1" applyAlignment="1">
      <alignment/>
    </xf>
    <xf numFmtId="41" fontId="10" fillId="0" borderId="32" xfId="48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10" fillId="0" borderId="20" xfId="48" applyNumberFormat="1" applyFont="1" applyFill="1" applyBorder="1" applyAlignment="1">
      <alignment/>
    </xf>
    <xf numFmtId="0" fontId="14" fillId="0" borderId="17" xfId="0" applyFont="1" applyFill="1" applyBorder="1" applyAlignment="1">
      <alignment horizontal="distributed"/>
    </xf>
    <xf numFmtId="41" fontId="10" fillId="0" borderId="16" xfId="48" applyNumberFormat="1" applyFont="1" applyFill="1" applyBorder="1" applyAlignment="1">
      <alignment horizontal="right"/>
    </xf>
    <xf numFmtId="41" fontId="10" fillId="0" borderId="13" xfId="48" applyNumberFormat="1" applyFont="1" applyFill="1" applyBorder="1" applyAlignment="1">
      <alignment horizontal="right"/>
    </xf>
    <xf numFmtId="41" fontId="23" fillId="0" borderId="16" xfId="48" applyNumberFormat="1" applyFont="1" applyFill="1" applyBorder="1" applyAlignment="1">
      <alignment horizontal="right" shrinkToFit="1"/>
    </xf>
    <xf numFmtId="41" fontId="23" fillId="0" borderId="0" xfId="48" applyNumberFormat="1" applyFont="1" applyFill="1" applyAlignment="1">
      <alignment horizontal="right" shrinkToFit="1"/>
    </xf>
    <xf numFmtId="41" fontId="23" fillId="0" borderId="13" xfId="48" applyNumberFormat="1" applyFont="1" applyFill="1" applyBorder="1" applyAlignment="1">
      <alignment horizontal="right" shrinkToFit="1"/>
    </xf>
    <xf numFmtId="41" fontId="23" fillId="0" borderId="17" xfId="48" applyNumberFormat="1" applyFont="1" applyFill="1" applyBorder="1" applyAlignment="1">
      <alignment horizontal="right" shrinkToFit="1"/>
    </xf>
    <xf numFmtId="0" fontId="27" fillId="0" borderId="0" xfId="0" applyFont="1" applyFill="1" applyAlignment="1">
      <alignment/>
    </xf>
    <xf numFmtId="179" fontId="2" fillId="0" borderId="0" xfId="0" applyNumberFormat="1" applyFont="1" applyBorder="1" applyAlignment="1">
      <alignment horizontal="right"/>
    </xf>
    <xf numFmtId="41" fontId="17" fillId="27" borderId="13" xfId="0" applyNumberFormat="1" applyFont="1" applyFill="1" applyBorder="1" applyAlignment="1">
      <alignment shrinkToFit="1"/>
    </xf>
    <xf numFmtId="41" fontId="17" fillId="27" borderId="13" xfId="48" applyNumberFormat="1" applyFont="1" applyFill="1" applyBorder="1" applyAlignment="1">
      <alignment horizontal="right" shrinkToFit="1"/>
    </xf>
    <xf numFmtId="41" fontId="17" fillId="27" borderId="13" xfId="0" applyNumberFormat="1" applyFont="1" applyFill="1" applyBorder="1" applyAlignment="1">
      <alignment horizontal="right" shrinkToFit="1"/>
    </xf>
    <xf numFmtId="41" fontId="17" fillId="27" borderId="20" xfId="0" applyNumberFormat="1" applyFont="1" applyFill="1" applyBorder="1" applyAlignment="1">
      <alignment shrinkToFit="1"/>
    </xf>
    <xf numFmtId="41" fontId="17" fillId="27" borderId="16" xfId="48" applyNumberFormat="1" applyFont="1" applyFill="1" applyBorder="1" applyAlignment="1">
      <alignment horizontal="right" vertical="center" shrinkToFit="1"/>
    </xf>
    <xf numFmtId="41" fontId="17" fillId="27" borderId="0" xfId="48" applyNumberFormat="1" applyFont="1" applyFill="1" applyAlignment="1">
      <alignment horizontal="right" vertical="center" shrinkToFit="1"/>
    </xf>
    <xf numFmtId="41" fontId="17" fillId="27" borderId="13" xfId="48" applyNumberFormat="1" applyFont="1" applyFill="1" applyBorder="1" applyAlignment="1">
      <alignment horizontal="right" vertical="center" shrinkToFit="1"/>
    </xf>
    <xf numFmtId="41" fontId="17" fillId="27" borderId="16" xfId="48" applyNumberFormat="1" applyFont="1" applyFill="1" applyBorder="1" applyAlignment="1">
      <alignment horizontal="right" shrinkToFit="1"/>
    </xf>
    <xf numFmtId="41" fontId="17" fillId="27" borderId="0" xfId="48" applyNumberFormat="1" applyFont="1" applyFill="1" applyAlignment="1">
      <alignment horizontal="right" shrinkToFit="1"/>
    </xf>
    <xf numFmtId="41" fontId="17" fillId="27" borderId="17" xfId="48" applyNumberFormat="1" applyFont="1" applyFill="1" applyBorder="1" applyAlignment="1">
      <alignment horizontal="right" shrinkToFit="1"/>
    </xf>
    <xf numFmtId="41" fontId="17" fillId="27" borderId="19" xfId="48" applyNumberFormat="1" applyFont="1" applyFill="1" applyBorder="1" applyAlignment="1">
      <alignment horizontal="right" shrinkToFit="1"/>
    </xf>
    <xf numFmtId="41" fontId="17" fillId="27" borderId="10" xfId="48" applyNumberFormat="1" applyFont="1" applyFill="1" applyBorder="1" applyAlignment="1">
      <alignment horizontal="right" shrinkToFit="1"/>
    </xf>
    <xf numFmtId="41" fontId="17" fillId="27" borderId="20" xfId="48" applyNumberFormat="1" applyFont="1" applyFill="1" applyBorder="1" applyAlignment="1">
      <alignment horizontal="right" shrinkToFit="1"/>
    </xf>
    <xf numFmtId="41" fontId="24" fillId="27" borderId="16" xfId="61" applyNumberFormat="1" applyFont="1" applyFill="1" applyBorder="1" applyAlignment="1" applyProtection="1">
      <alignment horizontal="right" shrinkToFit="1"/>
      <protection locked="0"/>
    </xf>
    <xf numFmtId="41" fontId="24" fillId="27" borderId="13" xfId="61" applyNumberFormat="1" applyFont="1" applyFill="1" applyBorder="1" applyAlignment="1" applyProtection="1">
      <alignment horizontal="right" shrinkToFit="1"/>
      <protection locked="0"/>
    </xf>
    <xf numFmtId="41" fontId="23" fillId="27" borderId="35" xfId="48" applyNumberFormat="1" applyFont="1" applyFill="1" applyBorder="1" applyAlignment="1">
      <alignment horizontal="right" shrinkToFit="1"/>
    </xf>
    <xf numFmtId="41" fontId="23" fillId="27" borderId="16" xfId="48" applyNumberFormat="1" applyFont="1" applyFill="1" applyBorder="1" applyAlignment="1">
      <alignment horizontal="right" shrinkToFit="1"/>
    </xf>
    <xf numFmtId="41" fontId="23" fillId="27" borderId="0" xfId="48" applyNumberFormat="1" applyFont="1" applyFill="1" applyAlignment="1">
      <alignment horizontal="right" shrinkToFit="1"/>
    </xf>
    <xf numFmtId="41" fontId="23" fillId="27" borderId="13" xfId="48" applyNumberFormat="1" applyFont="1" applyFill="1" applyBorder="1" applyAlignment="1">
      <alignment horizontal="right" shrinkToFit="1"/>
    </xf>
    <xf numFmtId="41" fontId="24" fillId="27" borderId="35" xfId="61" applyNumberFormat="1" applyFont="1" applyFill="1" applyBorder="1" applyAlignment="1" applyProtection="1">
      <alignment horizontal="right" shrinkToFit="1"/>
      <protection locked="0"/>
    </xf>
    <xf numFmtId="41" fontId="23" fillId="27" borderId="17" xfId="48" applyNumberFormat="1" applyFont="1" applyFill="1" applyBorder="1" applyAlignment="1">
      <alignment horizontal="right" shrinkToFit="1"/>
    </xf>
    <xf numFmtId="41" fontId="23" fillId="27" borderId="16" xfId="48" applyNumberFormat="1" applyFont="1" applyFill="1" applyBorder="1" applyAlignment="1">
      <alignment horizontal="right" vertical="center" shrinkToFit="1"/>
    </xf>
    <xf numFmtId="41" fontId="23" fillId="27" borderId="13" xfId="48" applyNumberFormat="1" applyFont="1" applyFill="1" applyBorder="1" applyAlignment="1">
      <alignment horizontal="right" vertical="center" shrinkToFit="1"/>
    </xf>
    <xf numFmtId="41" fontId="23" fillId="27" borderId="18" xfId="48" applyNumberFormat="1" applyFont="1" applyFill="1" applyBorder="1" applyAlignment="1">
      <alignment horizontal="right" shrinkToFit="1"/>
    </xf>
    <xf numFmtId="41" fontId="23" fillId="27" borderId="19" xfId="48" applyNumberFormat="1" applyFont="1" applyFill="1" applyBorder="1" applyAlignment="1">
      <alignment horizontal="right" shrinkToFit="1"/>
    </xf>
    <xf numFmtId="41" fontId="23" fillId="27" borderId="10" xfId="48" applyNumberFormat="1" applyFont="1" applyFill="1" applyBorder="1" applyAlignment="1">
      <alignment horizontal="right" shrinkToFit="1"/>
    </xf>
    <xf numFmtId="41" fontId="23" fillId="27" borderId="20" xfId="48" applyNumberFormat="1" applyFont="1" applyFill="1" applyBorder="1" applyAlignment="1">
      <alignment horizontal="right" shrinkToFit="1"/>
    </xf>
    <xf numFmtId="41" fontId="12" fillId="27" borderId="0" xfId="0" applyNumberFormat="1" applyFont="1" applyFill="1" applyAlignment="1">
      <alignment shrinkToFit="1"/>
    </xf>
    <xf numFmtId="41" fontId="12" fillId="27" borderId="0" xfId="48" applyNumberFormat="1" applyFont="1" applyFill="1" applyBorder="1" applyAlignment="1">
      <alignment shrinkToFit="1"/>
    </xf>
    <xf numFmtId="41" fontId="12" fillId="27" borderId="0" xfId="0" applyNumberFormat="1" applyFont="1" applyFill="1" applyBorder="1" applyAlignment="1">
      <alignment shrinkToFit="1"/>
    </xf>
    <xf numFmtId="41" fontId="12" fillId="27" borderId="10" xfId="0" applyNumberFormat="1" applyFont="1" applyFill="1" applyBorder="1" applyAlignment="1">
      <alignment shrinkToFit="1"/>
    </xf>
    <xf numFmtId="41" fontId="12" fillId="27" borderId="10" xfId="48" applyNumberFormat="1" applyFont="1" applyFill="1" applyBorder="1" applyAlignment="1">
      <alignment shrinkToFit="1"/>
    </xf>
    <xf numFmtId="41" fontId="12" fillId="27" borderId="13" xfId="48" applyNumberFormat="1" applyFont="1" applyFill="1" applyBorder="1" applyAlignment="1">
      <alignment shrinkToFit="1"/>
    </xf>
    <xf numFmtId="41" fontId="12" fillId="27" borderId="13" xfId="48" applyNumberFormat="1" applyFont="1" applyFill="1" applyBorder="1" applyAlignment="1">
      <alignment vertical="center" shrinkToFit="1"/>
    </xf>
    <xf numFmtId="41" fontId="12" fillId="27" borderId="20" xfId="48" applyNumberFormat="1" applyFont="1" applyFill="1" applyBorder="1" applyAlignment="1">
      <alignment vertical="center" shrinkToFit="1"/>
    </xf>
    <xf numFmtId="41" fontId="12" fillId="27" borderId="0" xfId="48" applyNumberFormat="1" applyFont="1" applyFill="1" applyAlignment="1">
      <alignment/>
    </xf>
    <xf numFmtId="41" fontId="12" fillId="27" borderId="16" xfId="48" applyNumberFormat="1" applyFont="1" applyFill="1" applyBorder="1" applyAlignment="1">
      <alignment/>
    </xf>
    <xf numFmtId="41" fontId="12" fillId="27" borderId="13" xfId="48" applyNumberFormat="1" applyFont="1" applyFill="1" applyBorder="1" applyAlignment="1">
      <alignment/>
    </xf>
    <xf numFmtId="41" fontId="12" fillId="27" borderId="0" xfId="48" applyNumberFormat="1" applyFont="1" applyFill="1" applyAlignment="1">
      <alignment vertical="center"/>
    </xf>
    <xf numFmtId="41" fontId="12" fillId="27" borderId="16" xfId="48" applyNumberFormat="1" applyFont="1" applyFill="1" applyBorder="1" applyAlignment="1">
      <alignment horizontal="right" vertical="center"/>
    </xf>
    <xf numFmtId="41" fontId="12" fillId="27" borderId="13" xfId="48" applyNumberFormat="1" applyFont="1" applyFill="1" applyBorder="1" applyAlignment="1">
      <alignment horizontal="right" vertical="center"/>
    </xf>
    <xf numFmtId="41" fontId="12" fillId="27" borderId="0" xfId="48" applyNumberFormat="1" applyFont="1" applyFill="1" applyAlignment="1">
      <alignment horizontal="right"/>
    </xf>
    <xf numFmtId="41" fontId="12" fillId="27" borderId="16" xfId="48" applyNumberFormat="1" applyFont="1" applyFill="1" applyBorder="1" applyAlignment="1">
      <alignment horizontal="right"/>
    </xf>
    <xf numFmtId="41" fontId="12" fillId="27" borderId="13" xfId="48" applyNumberFormat="1" applyFont="1" applyFill="1" applyBorder="1" applyAlignment="1">
      <alignment horizontal="right"/>
    </xf>
    <xf numFmtId="41" fontId="12" fillId="27" borderId="10" xfId="48" applyNumberFormat="1" applyFont="1" applyFill="1" applyBorder="1" applyAlignment="1">
      <alignment vertical="center"/>
    </xf>
    <xf numFmtId="41" fontId="12" fillId="27" borderId="19" xfId="48" applyNumberFormat="1" applyFont="1" applyFill="1" applyBorder="1" applyAlignment="1">
      <alignment vertical="center"/>
    </xf>
    <xf numFmtId="41" fontId="12" fillId="27" borderId="20" xfId="48" applyNumberFormat="1" applyFont="1" applyFill="1" applyBorder="1" applyAlignment="1">
      <alignment vertical="center"/>
    </xf>
    <xf numFmtId="38" fontId="10" fillId="27" borderId="0" xfId="48" applyFont="1" applyFill="1" applyAlignment="1">
      <alignment/>
    </xf>
    <xf numFmtId="41" fontId="10" fillId="27" borderId="16" xfId="48" applyNumberFormat="1" applyFont="1" applyFill="1" applyBorder="1" applyAlignment="1">
      <alignment horizontal="right"/>
    </xf>
    <xf numFmtId="41" fontId="10" fillId="27" borderId="17" xfId="48" applyNumberFormat="1" applyFont="1" applyFill="1" applyBorder="1" applyAlignment="1">
      <alignment horizontal="right"/>
    </xf>
    <xf numFmtId="41" fontId="10" fillId="27" borderId="13" xfId="48" applyNumberFormat="1" applyFont="1" applyFill="1" applyBorder="1" applyAlignment="1">
      <alignment horizontal="right"/>
    </xf>
    <xf numFmtId="41" fontId="10" fillId="27" borderId="16" xfId="48" applyNumberFormat="1" applyFont="1" applyFill="1" applyBorder="1" applyAlignment="1">
      <alignment/>
    </xf>
    <xf numFmtId="41" fontId="10" fillId="27" borderId="16" xfId="48" applyNumberFormat="1" applyFont="1" applyFill="1" applyBorder="1" applyAlignment="1">
      <alignment horizontal="right" vertical="center"/>
    </xf>
    <xf numFmtId="41" fontId="10" fillId="27" borderId="13" xfId="48" applyNumberFormat="1" applyFont="1" applyFill="1" applyBorder="1" applyAlignment="1">
      <alignment horizontal="right" vertical="center"/>
    </xf>
    <xf numFmtId="38" fontId="10" fillId="27" borderId="19" xfId="48" applyFont="1" applyFill="1" applyBorder="1" applyAlignment="1">
      <alignment vertical="center"/>
    </xf>
    <xf numFmtId="41" fontId="10" fillId="27" borderId="19" xfId="48" applyNumberFormat="1" applyFont="1" applyFill="1" applyBorder="1" applyAlignment="1">
      <alignment horizontal="right" vertical="center"/>
    </xf>
    <xf numFmtId="41" fontId="10" fillId="27" borderId="20" xfId="48" applyNumberFormat="1" applyFont="1" applyFill="1" applyBorder="1" applyAlignment="1">
      <alignment horizontal="right" vertical="center"/>
    </xf>
    <xf numFmtId="38" fontId="10" fillId="27" borderId="16" xfId="48" applyFont="1" applyFill="1" applyBorder="1" applyAlignment="1">
      <alignment/>
    </xf>
    <xf numFmtId="38" fontId="10" fillId="27" borderId="19" xfId="48" applyFont="1" applyFill="1" applyBorder="1" applyAlignment="1">
      <alignment/>
    </xf>
    <xf numFmtId="41" fontId="10" fillId="27" borderId="16" xfId="48" applyNumberFormat="1" applyFont="1" applyFill="1" applyBorder="1" applyAlignment="1">
      <alignment/>
    </xf>
    <xf numFmtId="41" fontId="10" fillId="27" borderId="0" xfId="48" applyNumberFormat="1" applyFont="1" applyFill="1" applyAlignment="1">
      <alignment/>
    </xf>
    <xf numFmtId="41" fontId="10" fillId="27" borderId="13" xfId="48" applyNumberFormat="1" applyFont="1" applyFill="1" applyBorder="1" applyAlignment="1">
      <alignment/>
    </xf>
    <xf numFmtId="41" fontId="10" fillId="27" borderId="0" xfId="48" applyNumberFormat="1" applyFont="1" applyFill="1" applyBorder="1" applyAlignment="1">
      <alignment/>
    </xf>
    <xf numFmtId="41" fontId="10" fillId="27" borderId="16" xfId="48" applyNumberFormat="1" applyFont="1" applyFill="1" applyBorder="1" applyAlignment="1">
      <alignment vertical="center"/>
    </xf>
    <xf numFmtId="41" fontId="10" fillId="27" borderId="13" xfId="48" applyNumberFormat="1" applyFont="1" applyFill="1" applyBorder="1" applyAlignment="1">
      <alignment vertical="center"/>
    </xf>
    <xf numFmtId="41" fontId="10" fillId="27" borderId="19" xfId="0" applyNumberFormat="1" applyFont="1" applyFill="1" applyBorder="1" applyAlignment="1">
      <alignment/>
    </xf>
    <xf numFmtId="41" fontId="10" fillId="27" borderId="10" xfId="0" applyNumberFormat="1" applyFont="1" applyFill="1" applyBorder="1" applyAlignment="1">
      <alignment/>
    </xf>
    <xf numFmtId="41" fontId="10" fillId="27" borderId="20" xfId="0" applyNumberFormat="1" applyFont="1" applyFill="1" applyBorder="1" applyAlignment="1">
      <alignment/>
    </xf>
    <xf numFmtId="41" fontId="10" fillId="27" borderId="16" xfId="0" applyNumberFormat="1" applyFont="1" applyFill="1" applyBorder="1" applyAlignment="1">
      <alignment/>
    </xf>
    <xf numFmtId="41" fontId="10" fillId="27" borderId="16" xfId="0" applyNumberFormat="1" applyFont="1" applyFill="1" applyBorder="1" applyAlignment="1">
      <alignment horizontal="right"/>
    </xf>
    <xf numFmtId="41" fontId="10" fillId="27" borderId="13" xfId="0" applyNumberFormat="1" applyFont="1" applyFill="1" applyBorder="1" applyAlignment="1">
      <alignment horizontal="right"/>
    </xf>
    <xf numFmtId="41" fontId="10" fillId="27" borderId="0" xfId="0" applyNumberFormat="1" applyFont="1" applyFill="1" applyBorder="1" applyAlignment="1">
      <alignment/>
    </xf>
    <xf numFmtId="41" fontId="10" fillId="27" borderId="19" xfId="0" applyNumberFormat="1" applyFont="1" applyFill="1" applyBorder="1" applyAlignment="1">
      <alignment horizontal="right"/>
    </xf>
    <xf numFmtId="41" fontId="10" fillId="27" borderId="20" xfId="0" applyNumberFormat="1" applyFont="1" applyFill="1" applyBorder="1" applyAlignment="1">
      <alignment horizontal="right"/>
    </xf>
    <xf numFmtId="41" fontId="10" fillId="27" borderId="17" xfId="0" applyNumberFormat="1" applyFont="1" applyFill="1" applyBorder="1" applyAlignment="1">
      <alignment shrinkToFit="1"/>
    </xf>
    <xf numFmtId="41" fontId="10" fillId="27" borderId="13" xfId="0" applyNumberFormat="1" applyFont="1" applyFill="1" applyBorder="1" applyAlignment="1">
      <alignment shrinkToFit="1"/>
    </xf>
    <xf numFmtId="41" fontId="10" fillId="27" borderId="0" xfId="0" applyNumberFormat="1" applyFont="1" applyFill="1" applyBorder="1" applyAlignment="1">
      <alignment shrinkToFit="1"/>
    </xf>
    <xf numFmtId="41" fontId="10" fillId="27" borderId="18" xfId="0" applyNumberFormat="1" applyFont="1" applyFill="1" applyBorder="1" applyAlignment="1">
      <alignment shrinkToFit="1"/>
    </xf>
    <xf numFmtId="41" fontId="10" fillId="27" borderId="20" xfId="0" applyNumberFormat="1" applyFont="1" applyFill="1" applyBorder="1" applyAlignment="1">
      <alignment shrinkToFit="1"/>
    </xf>
    <xf numFmtId="41" fontId="10" fillId="27" borderId="10" xfId="0" applyNumberFormat="1" applyFont="1" applyFill="1" applyBorder="1" applyAlignment="1">
      <alignment shrinkToFit="1"/>
    </xf>
    <xf numFmtId="41" fontId="10" fillId="27" borderId="20" xfId="48" applyNumberFormat="1" applyFont="1" applyFill="1" applyBorder="1" applyAlignment="1">
      <alignment/>
    </xf>
    <xf numFmtId="41" fontId="12" fillId="27" borderId="0" xfId="48" applyNumberFormat="1" applyFont="1" applyFill="1" applyBorder="1" applyAlignment="1">
      <alignment/>
    </xf>
    <xf numFmtId="41" fontId="12" fillId="27" borderId="10" xfId="48" applyNumberFormat="1" applyFont="1" applyFill="1" applyBorder="1" applyAlignment="1">
      <alignment/>
    </xf>
    <xf numFmtId="41" fontId="12" fillId="27" borderId="19" xfId="48" applyNumberFormat="1" applyFont="1" applyFill="1" applyBorder="1" applyAlignment="1">
      <alignment/>
    </xf>
    <xf numFmtId="41" fontId="12" fillId="27" borderId="20" xfId="48" applyNumberFormat="1" applyFont="1" applyFill="1" applyBorder="1" applyAlignment="1">
      <alignment/>
    </xf>
    <xf numFmtId="41" fontId="12" fillId="27" borderId="19" xfId="48" applyNumberFormat="1" applyFont="1" applyFill="1" applyBorder="1" applyAlignment="1">
      <alignment horizontal="right"/>
    </xf>
    <xf numFmtId="41" fontId="12" fillId="27" borderId="10" xfId="48" applyNumberFormat="1" applyFont="1" applyFill="1" applyBorder="1" applyAlignment="1">
      <alignment horizontal="right"/>
    </xf>
    <xf numFmtId="41" fontId="10" fillId="27" borderId="20" xfId="48" applyNumberFormat="1" applyFont="1" applyFill="1" applyBorder="1" applyAlignment="1">
      <alignment horizontal="right"/>
    </xf>
    <xf numFmtId="38" fontId="10" fillId="27" borderId="13" xfId="48" applyFont="1" applyFill="1" applyBorder="1" applyAlignment="1">
      <alignment/>
    </xf>
    <xf numFmtId="38" fontId="10" fillId="27" borderId="20" xfId="48" applyFont="1" applyFill="1" applyBorder="1" applyAlignment="1">
      <alignment/>
    </xf>
    <xf numFmtId="41" fontId="10" fillId="27" borderId="16" xfId="50" applyNumberFormat="1" applyFont="1" applyFill="1" applyBorder="1" applyAlignment="1">
      <alignment/>
    </xf>
    <xf numFmtId="41" fontId="10" fillId="27" borderId="0" xfId="50" applyNumberFormat="1" applyFont="1" applyFill="1" applyAlignment="1">
      <alignment horizontal="right"/>
    </xf>
    <xf numFmtId="41" fontId="10" fillId="27" borderId="16" xfId="50" applyNumberFormat="1" applyFont="1" applyFill="1" applyBorder="1" applyAlignment="1">
      <alignment horizontal="right"/>
    </xf>
    <xf numFmtId="41" fontId="10" fillId="27" borderId="0" xfId="50" applyNumberFormat="1" applyFont="1" applyFill="1" applyAlignment="1">
      <alignment/>
    </xf>
    <xf numFmtId="41" fontId="10" fillId="27" borderId="19" xfId="50" applyNumberFormat="1" applyFont="1" applyFill="1" applyBorder="1" applyAlignment="1">
      <alignment/>
    </xf>
    <xf numFmtId="41" fontId="10" fillId="27" borderId="10" xfId="50" applyNumberFormat="1" applyFont="1" applyFill="1" applyBorder="1" applyAlignment="1">
      <alignment horizontal="right"/>
    </xf>
    <xf numFmtId="41" fontId="10" fillId="27" borderId="19" xfId="50" applyNumberFormat="1" applyFont="1" applyFill="1" applyBorder="1" applyAlignment="1">
      <alignment horizontal="right"/>
    </xf>
    <xf numFmtId="41" fontId="10" fillId="27" borderId="13" xfId="0" applyNumberFormat="1" applyFont="1" applyFill="1" applyBorder="1" applyAlignment="1">
      <alignment/>
    </xf>
    <xf numFmtId="41" fontId="10" fillId="27" borderId="19" xfId="48" applyNumberFormat="1" applyFont="1" applyFill="1" applyBorder="1" applyAlignment="1">
      <alignment/>
    </xf>
    <xf numFmtId="41" fontId="10" fillId="27" borderId="10" xfId="48" applyNumberFormat="1" applyFont="1" applyFill="1" applyBorder="1" applyAlignment="1">
      <alignment/>
    </xf>
    <xf numFmtId="38" fontId="17" fillId="6" borderId="32" xfId="48" applyFont="1" applyFill="1" applyBorder="1" applyAlignment="1">
      <alignment shrinkToFit="1"/>
    </xf>
    <xf numFmtId="182" fontId="17" fillId="6" borderId="13" xfId="48" applyNumberFormat="1" applyFont="1" applyFill="1" applyBorder="1" applyAlignment="1">
      <alignment horizontal="right" shrinkToFit="1"/>
    </xf>
    <xf numFmtId="182" fontId="17" fillId="6" borderId="20" xfId="48" applyNumberFormat="1" applyFont="1" applyFill="1" applyBorder="1" applyAlignment="1">
      <alignment horizontal="right" shrinkToFit="1"/>
    </xf>
    <xf numFmtId="41" fontId="17" fillId="6" borderId="16" xfId="48" applyNumberFormat="1" applyFont="1" applyFill="1" applyBorder="1" applyAlignment="1">
      <alignment horizontal="right" shrinkToFit="1"/>
    </xf>
    <xf numFmtId="41" fontId="17" fillId="6" borderId="26" xfId="48" applyNumberFormat="1" applyFont="1" applyFill="1" applyBorder="1" applyAlignment="1">
      <alignment horizontal="right" shrinkToFit="1"/>
    </xf>
    <xf numFmtId="41" fontId="17" fillId="6" borderId="17" xfId="48" applyNumberFormat="1" applyFont="1" applyFill="1" applyBorder="1" applyAlignment="1">
      <alignment horizontal="right" shrinkToFit="1"/>
    </xf>
    <xf numFmtId="41" fontId="17" fillId="6" borderId="0" xfId="48" applyNumberFormat="1" applyFont="1" applyFill="1" applyAlignment="1">
      <alignment horizontal="right" shrinkToFit="1"/>
    </xf>
    <xf numFmtId="41" fontId="17" fillId="6" borderId="13" xfId="48" applyNumberFormat="1" applyFont="1" applyFill="1" applyBorder="1" applyAlignment="1">
      <alignment horizontal="right" shrinkToFit="1"/>
    </xf>
    <xf numFmtId="182" fontId="17" fillId="6" borderId="13" xfId="48" applyNumberFormat="1" applyFont="1" applyFill="1" applyBorder="1" applyAlignment="1">
      <alignment horizontal="right" vertical="center" shrinkToFit="1"/>
    </xf>
    <xf numFmtId="41" fontId="23" fillId="6" borderId="16" xfId="48" applyNumberFormat="1" applyFont="1" applyFill="1" applyBorder="1" applyAlignment="1">
      <alignment horizontal="right" shrinkToFit="1"/>
    </xf>
    <xf numFmtId="41" fontId="23" fillId="6" borderId="13" xfId="48" applyNumberFormat="1" applyFont="1" applyFill="1" applyBorder="1" applyAlignment="1">
      <alignment horizontal="right" shrinkToFit="1"/>
    </xf>
    <xf numFmtId="41" fontId="23" fillId="6" borderId="16" xfId="48" applyNumberFormat="1" applyFont="1" applyFill="1" applyBorder="1" applyAlignment="1">
      <alignment horizontal="right" vertical="center" shrinkToFit="1"/>
    </xf>
    <xf numFmtId="41" fontId="23" fillId="6" borderId="19" xfId="48" applyNumberFormat="1" applyFont="1" applyFill="1" applyBorder="1" applyAlignment="1">
      <alignment horizontal="right" shrinkToFit="1"/>
    </xf>
    <xf numFmtId="41" fontId="12" fillId="6" borderId="0" xfId="0" applyNumberFormat="1" applyFont="1" applyFill="1" applyAlignment="1">
      <alignment shrinkToFit="1"/>
    </xf>
    <xf numFmtId="41" fontId="12" fillId="6" borderId="0" xfId="48" applyNumberFormat="1" applyFont="1" applyFill="1" applyBorder="1" applyAlignment="1">
      <alignment shrinkToFit="1"/>
    </xf>
    <xf numFmtId="0" fontId="12" fillId="6" borderId="0" xfId="0" applyFont="1" applyFill="1" applyAlignment="1">
      <alignment shrinkToFit="1"/>
    </xf>
    <xf numFmtId="182" fontId="12" fillId="6" borderId="0" xfId="48" applyNumberFormat="1" applyFont="1" applyFill="1" applyBorder="1" applyAlignment="1">
      <alignment shrinkToFit="1"/>
    </xf>
    <xf numFmtId="182" fontId="12" fillId="6" borderId="10" xfId="48" applyNumberFormat="1" applyFont="1" applyFill="1" applyBorder="1" applyAlignment="1">
      <alignment shrinkToFit="1"/>
    </xf>
    <xf numFmtId="41" fontId="12" fillId="6" borderId="13" xfId="48" applyNumberFormat="1" applyFont="1" applyFill="1" applyBorder="1" applyAlignment="1">
      <alignment shrinkToFit="1"/>
    </xf>
    <xf numFmtId="41" fontId="12" fillId="6" borderId="16" xfId="48" applyNumberFormat="1" applyFont="1" applyFill="1" applyBorder="1" applyAlignment="1">
      <alignment/>
    </xf>
    <xf numFmtId="41" fontId="12" fillId="6" borderId="26" xfId="48" applyNumberFormat="1" applyFont="1" applyFill="1" applyBorder="1" applyAlignment="1">
      <alignment/>
    </xf>
    <xf numFmtId="41" fontId="12" fillId="6" borderId="32" xfId="48" applyNumberFormat="1" applyFont="1" applyFill="1" applyBorder="1" applyAlignment="1">
      <alignment/>
    </xf>
    <xf numFmtId="41" fontId="12" fillId="6" borderId="16" xfId="48" applyNumberFormat="1" applyFont="1" applyFill="1" applyBorder="1" applyAlignment="1">
      <alignment vertical="center"/>
    </xf>
    <xf numFmtId="41" fontId="12" fillId="6" borderId="19" xfId="48" applyNumberFormat="1" applyFont="1" applyFill="1" applyBorder="1" applyAlignment="1">
      <alignment vertical="center"/>
    </xf>
    <xf numFmtId="38" fontId="10" fillId="6" borderId="13" xfId="48" applyFont="1" applyFill="1" applyBorder="1" applyAlignment="1">
      <alignment/>
    </xf>
    <xf numFmtId="38" fontId="10" fillId="6" borderId="20" xfId="48" applyFont="1" applyFill="1" applyBorder="1" applyAlignment="1">
      <alignment/>
    </xf>
    <xf numFmtId="179" fontId="10" fillId="6" borderId="0" xfId="0" applyNumberFormat="1" applyFont="1" applyFill="1" applyAlignment="1">
      <alignment/>
    </xf>
    <xf numFmtId="179" fontId="10" fillId="6" borderId="20" xfId="0" applyNumberFormat="1" applyFont="1" applyFill="1" applyBorder="1" applyAlignment="1">
      <alignment/>
    </xf>
    <xf numFmtId="38" fontId="10" fillId="6" borderId="0" xfId="48" applyFont="1" applyFill="1" applyAlignment="1">
      <alignment/>
    </xf>
    <xf numFmtId="38" fontId="10" fillId="6" borderId="16" xfId="48" applyFont="1" applyFill="1" applyBorder="1" applyAlignment="1">
      <alignment/>
    </xf>
    <xf numFmtId="179" fontId="10" fillId="6" borderId="16" xfId="48" applyNumberFormat="1" applyFont="1" applyFill="1" applyBorder="1" applyAlignment="1">
      <alignment/>
    </xf>
    <xf numFmtId="41" fontId="10" fillId="6" borderId="16" xfId="48" applyNumberFormat="1" applyFont="1" applyFill="1" applyBorder="1" applyAlignment="1">
      <alignment/>
    </xf>
    <xf numFmtId="41" fontId="10" fillId="6" borderId="13" xfId="48" applyNumberFormat="1" applyFont="1" applyFill="1" applyBorder="1" applyAlignment="1">
      <alignment/>
    </xf>
    <xf numFmtId="38" fontId="10" fillId="6" borderId="16" xfId="48" applyFont="1" applyFill="1" applyBorder="1" applyAlignment="1">
      <alignment vertical="center"/>
    </xf>
    <xf numFmtId="179" fontId="10" fillId="6" borderId="16" xfId="48" applyNumberFormat="1" applyFont="1" applyFill="1" applyBorder="1" applyAlignment="1">
      <alignment vertical="center"/>
    </xf>
    <xf numFmtId="41" fontId="10" fillId="6" borderId="16" xfId="48" applyNumberFormat="1" applyFont="1" applyFill="1" applyBorder="1" applyAlignment="1">
      <alignment horizontal="right"/>
    </xf>
    <xf numFmtId="38" fontId="10" fillId="6" borderId="19" xfId="48" applyFont="1" applyFill="1" applyBorder="1" applyAlignment="1">
      <alignment vertical="center"/>
    </xf>
    <xf numFmtId="179" fontId="10" fillId="6" borderId="19" xfId="48" applyNumberFormat="1" applyFont="1" applyFill="1" applyBorder="1" applyAlignment="1">
      <alignment vertical="center"/>
    </xf>
    <xf numFmtId="41" fontId="10" fillId="6" borderId="26" xfId="48" applyNumberFormat="1" applyFont="1" applyFill="1" applyBorder="1" applyAlignment="1">
      <alignment/>
    </xf>
    <xf numFmtId="41" fontId="10" fillId="6" borderId="0" xfId="48" applyNumberFormat="1" applyFont="1" applyFill="1" applyAlignment="1">
      <alignment/>
    </xf>
    <xf numFmtId="41" fontId="10" fillId="6" borderId="16" xfId="0" applyNumberFormat="1" applyFont="1" applyFill="1" applyBorder="1" applyAlignment="1">
      <alignment/>
    </xf>
    <xf numFmtId="41" fontId="10" fillId="6" borderId="13" xfId="0" applyNumberFormat="1" applyFont="1" applyFill="1" applyBorder="1" applyAlignment="1">
      <alignment/>
    </xf>
    <xf numFmtId="41" fontId="10" fillId="6" borderId="0" xfId="0" applyNumberFormat="1" applyFont="1" applyFill="1" applyBorder="1" applyAlignment="1">
      <alignment shrinkToFit="1"/>
    </xf>
    <xf numFmtId="41" fontId="10" fillId="6" borderId="13" xfId="0" applyNumberFormat="1" applyFont="1" applyFill="1" applyBorder="1" applyAlignment="1">
      <alignment shrinkToFit="1"/>
    </xf>
    <xf numFmtId="41" fontId="10" fillId="6" borderId="17" xfId="0" applyNumberFormat="1" applyFont="1" applyFill="1" applyBorder="1" applyAlignment="1">
      <alignment shrinkToFit="1"/>
    </xf>
    <xf numFmtId="41" fontId="12" fillId="6" borderId="19" xfId="48" applyNumberFormat="1" applyFont="1" applyFill="1" applyBorder="1" applyAlignment="1">
      <alignment/>
    </xf>
    <xf numFmtId="41" fontId="10" fillId="6" borderId="16" xfId="50" applyNumberFormat="1" applyFont="1" applyFill="1" applyBorder="1" applyAlignment="1">
      <alignment/>
    </xf>
    <xf numFmtId="41" fontId="10" fillId="6" borderId="13" xfId="50" applyNumberFormat="1" applyFont="1" applyFill="1" applyBorder="1" applyAlignment="1">
      <alignment horizontal="right"/>
    </xf>
    <xf numFmtId="41" fontId="10" fillId="6" borderId="19" xfId="48" applyNumberFormat="1" applyFont="1" applyFill="1" applyBorder="1" applyAlignment="1">
      <alignment horizontal="right"/>
    </xf>
    <xf numFmtId="41" fontId="10" fillId="6" borderId="0" xfId="48" applyNumberFormat="1" applyFont="1" applyFill="1" applyBorder="1" applyAlignment="1">
      <alignment/>
    </xf>
    <xf numFmtId="182" fontId="10" fillId="6" borderId="0" xfId="48" applyNumberFormat="1" applyFont="1" applyFill="1" applyBorder="1" applyAlignment="1">
      <alignment/>
    </xf>
    <xf numFmtId="182" fontId="10" fillId="6" borderId="20" xfId="48" applyNumberFormat="1" applyFont="1" applyFill="1" applyBorder="1" applyAlignment="1">
      <alignment/>
    </xf>
    <xf numFmtId="41" fontId="10" fillId="6" borderId="20" xfId="0" applyNumberFormat="1" applyFont="1" applyFill="1" applyBorder="1" applyAlignment="1">
      <alignment shrinkToFit="1"/>
    </xf>
    <xf numFmtId="41" fontId="10" fillId="6" borderId="10" xfId="0" applyNumberFormat="1" applyFont="1" applyFill="1" applyBorder="1" applyAlignment="1">
      <alignment shrinkToFit="1"/>
    </xf>
    <xf numFmtId="41" fontId="10" fillId="6" borderId="28" xfId="0" applyNumberFormat="1" applyFont="1" applyFill="1" applyBorder="1" applyAlignment="1">
      <alignment shrinkToFit="1"/>
    </xf>
    <xf numFmtId="41" fontId="10" fillId="6" borderId="18" xfId="0" applyNumberFormat="1" applyFont="1" applyFill="1" applyBorder="1" applyAlignment="1">
      <alignment shrinkToFit="1"/>
    </xf>
    <xf numFmtId="38" fontId="2" fillId="0" borderId="36" xfId="48" applyFont="1" applyBorder="1" applyAlignment="1">
      <alignment horizontal="right"/>
    </xf>
    <xf numFmtId="0" fontId="11" fillId="0" borderId="0" xfId="0" applyFont="1" applyFill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41" fontId="17" fillId="27" borderId="16" xfId="48" applyNumberFormat="1" applyFont="1" applyFill="1" applyBorder="1" applyAlignment="1">
      <alignment horizontal="right" vertical="center" shrinkToFit="1"/>
    </xf>
    <xf numFmtId="41" fontId="17" fillId="27" borderId="16" xfId="0" applyNumberFormat="1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9" fontId="11" fillId="0" borderId="3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2" fontId="17" fillId="6" borderId="13" xfId="48" applyNumberFormat="1" applyFont="1" applyFill="1" applyBorder="1" applyAlignment="1">
      <alignment horizontal="right" vertical="center" shrinkToFit="1"/>
    </xf>
    <xf numFmtId="182" fontId="17" fillId="6" borderId="13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shrinkToFit="1"/>
    </xf>
    <xf numFmtId="0" fontId="11" fillId="0" borderId="17" xfId="0" applyFont="1" applyFill="1" applyBorder="1" applyAlignment="1">
      <alignment shrinkToFit="1"/>
    </xf>
    <xf numFmtId="0" fontId="11" fillId="0" borderId="10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0" xfId="0" applyFont="1" applyAlignment="1">
      <alignment shrinkToFit="1"/>
    </xf>
    <xf numFmtId="0" fontId="11" fillId="0" borderId="17" xfId="0" applyFont="1" applyBorder="1" applyAlignment="1">
      <alignment shrinkToFit="1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7" xfId="0" applyFont="1" applyBorder="1" applyAlignment="1">
      <alignment horizontal="distributed"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9" fillId="0" borderId="2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1" fillId="0" borderId="1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0" fontId="9" fillId="0" borderId="36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41" fontId="12" fillId="27" borderId="13" xfId="48" applyNumberFormat="1" applyFont="1" applyFill="1" applyBorder="1" applyAlignment="1">
      <alignment horizontal="center" shrinkToFit="1"/>
    </xf>
    <xf numFmtId="41" fontId="12" fillId="27" borderId="17" xfId="48" applyNumberFormat="1" applyFont="1" applyFill="1" applyBorder="1" applyAlignment="1">
      <alignment horizontal="center" shrinkToFit="1"/>
    </xf>
    <xf numFmtId="41" fontId="12" fillId="6" borderId="32" xfId="48" applyNumberFormat="1" applyFont="1" applyFill="1" applyBorder="1" applyAlignment="1">
      <alignment horizontal="center" shrinkToFit="1"/>
    </xf>
    <xf numFmtId="41" fontId="12" fillId="6" borderId="28" xfId="48" applyNumberFormat="1" applyFont="1" applyFill="1" applyBorder="1" applyAlignment="1">
      <alignment horizontal="center" shrinkToFit="1"/>
    </xf>
    <xf numFmtId="0" fontId="9" fillId="33" borderId="14" xfId="0" applyFont="1" applyFill="1" applyBorder="1" applyAlignment="1">
      <alignment horizontal="center" vertical="center"/>
    </xf>
    <xf numFmtId="41" fontId="12" fillId="27" borderId="20" xfId="48" applyNumberFormat="1" applyFont="1" applyFill="1" applyBorder="1" applyAlignment="1">
      <alignment horizontal="center" shrinkToFit="1"/>
    </xf>
    <xf numFmtId="41" fontId="12" fillId="27" borderId="18" xfId="48" applyNumberFormat="1" applyFont="1" applyFill="1" applyBorder="1" applyAlignment="1">
      <alignment horizontal="center" shrinkToFit="1"/>
    </xf>
    <xf numFmtId="0" fontId="9" fillId="0" borderId="37" xfId="0" applyFont="1" applyBorder="1" applyAlignment="1">
      <alignment horizontal="distributed"/>
    </xf>
    <xf numFmtId="0" fontId="9" fillId="0" borderId="28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11" fillId="0" borderId="1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0" fontId="8" fillId="0" borderId="33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179" fontId="8" fillId="0" borderId="34" xfId="0" applyNumberFormat="1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179" fontId="9" fillId="0" borderId="3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8" fontId="8" fillId="0" borderId="12" xfId="48" applyFont="1" applyFill="1" applyBorder="1" applyAlignment="1">
      <alignment horizontal="distributed" vertical="center"/>
    </xf>
    <xf numFmtId="38" fontId="8" fillId="0" borderId="14" xfId="48" applyFont="1" applyFill="1" applyBorder="1" applyAlignment="1">
      <alignment horizontal="distributed" vertical="center"/>
    </xf>
    <xf numFmtId="38" fontId="8" fillId="0" borderId="16" xfId="48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wrapText="1"/>
    </xf>
    <xf numFmtId="38" fontId="8" fillId="0" borderId="13" xfId="48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wrapText="1"/>
    </xf>
    <xf numFmtId="0" fontId="9" fillId="0" borderId="36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38" fontId="8" fillId="0" borderId="34" xfId="48" applyFont="1" applyFill="1" applyBorder="1" applyAlignment="1">
      <alignment horizontal="distributed" vertical="center" wrapText="1"/>
    </xf>
    <xf numFmtId="38" fontId="8" fillId="0" borderId="22" xfId="48" applyFont="1" applyFill="1" applyBorder="1" applyAlignment="1">
      <alignment horizontal="distributed" vertical="center" wrapText="1"/>
    </xf>
    <xf numFmtId="38" fontId="8" fillId="0" borderId="36" xfId="48" applyFont="1" applyFill="1" applyBorder="1" applyAlignment="1">
      <alignment horizontal="distributed" vertical="center" wrapText="1"/>
    </xf>
    <xf numFmtId="38" fontId="8" fillId="0" borderId="21" xfId="48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distributed" vertical="center"/>
    </xf>
    <xf numFmtId="0" fontId="63" fillId="0" borderId="14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27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相双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9.50390625" style="1" customWidth="1"/>
    <col min="2" max="2" width="13.25390625" style="1" customWidth="1"/>
    <col min="3" max="6" width="9.625" style="1" hidden="1" customWidth="1"/>
    <col min="7" max="9" width="12.125" style="1" customWidth="1"/>
    <col min="10" max="11" width="12.125" style="18" customWidth="1"/>
    <col min="12" max="12" width="12.125" style="37" customWidth="1"/>
    <col min="13" max="13" width="12.125" style="1" customWidth="1"/>
    <col min="14" max="14" width="10.375" style="1" customWidth="1"/>
    <col min="15" max="16384" width="9.00390625" style="1" customWidth="1"/>
  </cols>
  <sheetData>
    <row r="1" ht="24" customHeight="1">
      <c r="A1" s="200" t="s">
        <v>26</v>
      </c>
    </row>
    <row r="2" spans="1:8" ht="22.5" customHeight="1" thickBot="1">
      <c r="A2" s="2"/>
      <c r="B2" s="2"/>
      <c r="C2" s="2"/>
      <c r="D2" s="2"/>
      <c r="E2" s="2"/>
      <c r="F2" s="2"/>
      <c r="G2" s="2"/>
      <c r="H2" s="3"/>
    </row>
    <row r="3" spans="1:13" s="8" customFormat="1" ht="27" customHeight="1">
      <c r="A3" s="44" t="s">
        <v>27</v>
      </c>
      <c r="B3" s="78" t="s">
        <v>286</v>
      </c>
      <c r="C3" s="199">
        <v>13</v>
      </c>
      <c r="D3" s="199">
        <v>14</v>
      </c>
      <c r="E3" s="199">
        <v>15</v>
      </c>
      <c r="F3" s="199">
        <v>16</v>
      </c>
      <c r="G3" s="199">
        <v>17</v>
      </c>
      <c r="H3" s="199">
        <v>18</v>
      </c>
      <c r="I3" s="199">
        <v>19</v>
      </c>
      <c r="J3" s="199">
        <v>20</v>
      </c>
      <c r="K3" s="199">
        <v>21</v>
      </c>
      <c r="L3" s="288">
        <v>22</v>
      </c>
      <c r="M3" s="199">
        <v>23</v>
      </c>
    </row>
    <row r="4" spans="1:13" ht="24.75" customHeight="1">
      <c r="A4" s="180" t="s">
        <v>30</v>
      </c>
      <c r="B4" s="183">
        <f aca="true" t="shared" si="0" ref="B4:J4">SUM(B6:B45)</f>
        <v>49338</v>
      </c>
      <c r="C4" s="183">
        <f t="shared" si="0"/>
        <v>49707</v>
      </c>
      <c r="D4" s="183">
        <f t="shared" si="0"/>
        <v>49142</v>
      </c>
      <c r="E4" s="184">
        <f t="shared" si="0"/>
        <v>48843</v>
      </c>
      <c r="F4" s="185">
        <f t="shared" si="0"/>
        <v>48020</v>
      </c>
      <c r="G4" s="184">
        <f t="shared" si="0"/>
        <v>48021</v>
      </c>
      <c r="H4" s="183">
        <f t="shared" si="0"/>
        <v>47513</v>
      </c>
      <c r="I4" s="183">
        <f t="shared" si="0"/>
        <v>47526</v>
      </c>
      <c r="J4" s="183">
        <f t="shared" si="0"/>
        <v>46439</v>
      </c>
      <c r="K4" s="183">
        <f>SUM(K6:K45)</f>
        <v>45811</v>
      </c>
      <c r="L4" s="289">
        <f>SUM(L6:L45)</f>
        <v>45099</v>
      </c>
      <c r="M4" s="416">
        <f>SUM(M6:M45)</f>
        <v>44064</v>
      </c>
    </row>
    <row r="5" spans="1:13" ht="24.75" customHeight="1">
      <c r="A5" s="180"/>
      <c r="B5" s="186"/>
      <c r="C5" s="182"/>
      <c r="D5" s="187"/>
      <c r="E5" s="188"/>
      <c r="F5" s="189"/>
      <c r="G5" s="188"/>
      <c r="H5" s="187"/>
      <c r="I5" s="190"/>
      <c r="J5" s="190"/>
      <c r="K5" s="190"/>
      <c r="L5" s="290"/>
      <c r="M5" s="187"/>
    </row>
    <row r="6" spans="1:13" ht="24.75" customHeight="1">
      <c r="A6" s="180" t="s">
        <v>31</v>
      </c>
      <c r="B6" s="186">
        <v>24043</v>
      </c>
      <c r="C6" s="182">
        <v>24295</v>
      </c>
      <c r="D6" s="183">
        <v>24019</v>
      </c>
      <c r="E6" s="184">
        <v>23804</v>
      </c>
      <c r="F6" s="185">
        <v>23387</v>
      </c>
      <c r="G6" s="184">
        <v>23616</v>
      </c>
      <c r="H6" s="183">
        <v>23244</v>
      </c>
      <c r="I6" s="190">
        <v>23338</v>
      </c>
      <c r="J6" s="190">
        <v>22837</v>
      </c>
      <c r="K6" s="190">
        <v>22484</v>
      </c>
      <c r="L6" s="276">
        <v>22276</v>
      </c>
      <c r="M6" s="316">
        <v>21985</v>
      </c>
    </row>
    <row r="7" spans="1:13" ht="24.75" customHeight="1">
      <c r="A7" s="180" t="s">
        <v>32</v>
      </c>
      <c r="B7" s="186">
        <v>1985</v>
      </c>
      <c r="C7" s="182">
        <v>2039</v>
      </c>
      <c r="D7" s="183">
        <v>2088</v>
      </c>
      <c r="E7" s="184">
        <v>2212</v>
      </c>
      <c r="F7" s="185">
        <v>2317</v>
      </c>
      <c r="G7" s="184">
        <v>2421</v>
      </c>
      <c r="H7" s="183">
        <v>2468</v>
      </c>
      <c r="I7" s="190">
        <v>2558</v>
      </c>
      <c r="J7" s="190">
        <v>2607</v>
      </c>
      <c r="K7" s="190">
        <v>2720</v>
      </c>
      <c r="L7" s="276">
        <v>2786</v>
      </c>
      <c r="M7" s="316">
        <v>2822</v>
      </c>
    </row>
    <row r="8" spans="1:13" ht="24.75" customHeight="1">
      <c r="A8" s="180" t="s">
        <v>33</v>
      </c>
      <c r="B8" s="186">
        <v>22</v>
      </c>
      <c r="C8" s="182">
        <v>22</v>
      </c>
      <c r="D8" s="183">
        <v>20</v>
      </c>
      <c r="E8" s="184">
        <v>17</v>
      </c>
      <c r="F8" s="185">
        <v>16</v>
      </c>
      <c r="G8" s="184">
        <v>17</v>
      </c>
      <c r="H8" s="183">
        <v>16</v>
      </c>
      <c r="I8" s="190">
        <v>15</v>
      </c>
      <c r="J8" s="190">
        <v>15</v>
      </c>
      <c r="K8" s="190">
        <v>14</v>
      </c>
      <c r="L8" s="276">
        <v>13</v>
      </c>
      <c r="M8" s="316">
        <v>11</v>
      </c>
    </row>
    <row r="9" spans="1:13" ht="24.75" customHeight="1">
      <c r="A9" s="180" t="s">
        <v>34</v>
      </c>
      <c r="B9" s="182" t="s">
        <v>0</v>
      </c>
      <c r="C9" s="182" t="s">
        <v>209</v>
      </c>
      <c r="D9" s="183" t="s">
        <v>209</v>
      </c>
      <c r="E9" s="183" t="s">
        <v>209</v>
      </c>
      <c r="F9" s="183" t="s">
        <v>209</v>
      </c>
      <c r="G9" s="184" t="s">
        <v>209</v>
      </c>
      <c r="H9" s="183" t="s">
        <v>209</v>
      </c>
      <c r="I9" s="183" t="s">
        <v>209</v>
      </c>
      <c r="J9" s="183" t="s">
        <v>209</v>
      </c>
      <c r="K9" s="183" t="s">
        <v>209</v>
      </c>
      <c r="L9" s="280">
        <v>0</v>
      </c>
      <c r="M9" s="317">
        <v>0</v>
      </c>
    </row>
    <row r="10" spans="1:13" ht="24.75" customHeight="1">
      <c r="A10" s="180" t="s">
        <v>35</v>
      </c>
      <c r="B10" s="186">
        <v>39</v>
      </c>
      <c r="C10" s="182">
        <v>39</v>
      </c>
      <c r="D10" s="183">
        <v>35</v>
      </c>
      <c r="E10" s="184">
        <v>34</v>
      </c>
      <c r="F10" s="185">
        <v>36</v>
      </c>
      <c r="G10" s="184">
        <v>36</v>
      </c>
      <c r="H10" s="183">
        <v>37</v>
      </c>
      <c r="I10" s="190">
        <v>38</v>
      </c>
      <c r="J10" s="190">
        <v>40</v>
      </c>
      <c r="K10" s="190">
        <v>39</v>
      </c>
      <c r="L10" s="276">
        <v>36</v>
      </c>
      <c r="M10" s="316">
        <v>35</v>
      </c>
    </row>
    <row r="11" spans="1:13" ht="24.75" customHeight="1">
      <c r="A11" s="180" t="s">
        <v>36</v>
      </c>
      <c r="B11" s="186">
        <v>8</v>
      </c>
      <c r="C11" s="182">
        <v>8</v>
      </c>
      <c r="D11" s="183">
        <v>8</v>
      </c>
      <c r="E11" s="184">
        <v>6</v>
      </c>
      <c r="F11" s="185">
        <v>6</v>
      </c>
      <c r="G11" s="184">
        <v>5</v>
      </c>
      <c r="H11" s="183">
        <v>5</v>
      </c>
      <c r="I11" s="190">
        <v>6</v>
      </c>
      <c r="J11" s="190">
        <v>6</v>
      </c>
      <c r="K11" s="190">
        <v>5</v>
      </c>
      <c r="L11" s="276">
        <v>5</v>
      </c>
      <c r="M11" s="316">
        <v>5</v>
      </c>
    </row>
    <row r="12" spans="1:13" ht="24.75" customHeight="1">
      <c r="A12" s="180"/>
      <c r="B12" s="186"/>
      <c r="C12" s="182"/>
      <c r="D12" s="187"/>
      <c r="E12" s="188"/>
      <c r="F12" s="189"/>
      <c r="G12" s="188"/>
      <c r="H12" s="187"/>
      <c r="I12" s="190"/>
      <c r="J12" s="190"/>
      <c r="K12" s="190"/>
      <c r="L12" s="276"/>
      <c r="M12" s="276"/>
    </row>
    <row r="13" spans="1:13" ht="24.75" customHeight="1">
      <c r="A13" s="180" t="s">
        <v>37</v>
      </c>
      <c r="B13" s="186">
        <v>3976</v>
      </c>
      <c r="C13" s="182">
        <v>3899</v>
      </c>
      <c r="D13" s="183">
        <v>3738</v>
      </c>
      <c r="E13" s="184">
        <v>3632</v>
      </c>
      <c r="F13" s="185">
        <v>3491</v>
      </c>
      <c r="G13" s="184">
        <v>3442</v>
      </c>
      <c r="H13" s="183">
        <v>3397</v>
      </c>
      <c r="I13" s="190">
        <v>3325</v>
      </c>
      <c r="J13" s="190">
        <v>3207</v>
      </c>
      <c r="K13" s="190">
        <v>3124</v>
      </c>
      <c r="L13" s="276">
        <v>3059</v>
      </c>
      <c r="M13" s="316">
        <v>2981</v>
      </c>
    </row>
    <row r="14" spans="1:13" ht="24.75" customHeight="1">
      <c r="A14" s="180" t="s">
        <v>38</v>
      </c>
      <c r="B14" s="186">
        <v>30</v>
      </c>
      <c r="C14" s="182">
        <v>30</v>
      </c>
      <c r="D14" s="183">
        <v>29</v>
      </c>
      <c r="E14" s="184">
        <v>28</v>
      </c>
      <c r="F14" s="185">
        <v>27</v>
      </c>
      <c r="G14" s="184">
        <v>27</v>
      </c>
      <c r="H14" s="183">
        <v>27</v>
      </c>
      <c r="I14" s="190">
        <v>27</v>
      </c>
      <c r="J14" s="190">
        <v>27</v>
      </c>
      <c r="K14" s="190">
        <v>25</v>
      </c>
      <c r="L14" s="276">
        <v>26</v>
      </c>
      <c r="M14" s="316">
        <v>24</v>
      </c>
    </row>
    <row r="15" spans="1:13" ht="24.75" customHeight="1">
      <c r="A15" s="180" t="s">
        <v>39</v>
      </c>
      <c r="B15" s="186">
        <v>75</v>
      </c>
      <c r="C15" s="182">
        <v>72</v>
      </c>
      <c r="D15" s="183">
        <v>67</v>
      </c>
      <c r="E15" s="184">
        <v>67</v>
      </c>
      <c r="F15" s="185">
        <v>69</v>
      </c>
      <c r="G15" s="184">
        <v>70</v>
      </c>
      <c r="H15" s="183">
        <v>67</v>
      </c>
      <c r="I15" s="190">
        <v>67</v>
      </c>
      <c r="J15" s="190">
        <v>62</v>
      </c>
      <c r="K15" s="190">
        <v>59</v>
      </c>
      <c r="L15" s="276">
        <v>60</v>
      </c>
      <c r="M15" s="316">
        <v>49</v>
      </c>
    </row>
    <row r="16" spans="1:13" ht="24.75" customHeight="1">
      <c r="A16" s="180" t="s">
        <v>40</v>
      </c>
      <c r="B16" s="186">
        <v>135</v>
      </c>
      <c r="C16" s="182">
        <v>134</v>
      </c>
      <c r="D16" s="183">
        <v>119</v>
      </c>
      <c r="E16" s="184">
        <v>127</v>
      </c>
      <c r="F16" s="185">
        <v>116</v>
      </c>
      <c r="G16" s="184">
        <v>116</v>
      </c>
      <c r="H16" s="183">
        <v>112</v>
      </c>
      <c r="I16" s="190">
        <v>114</v>
      </c>
      <c r="J16" s="190">
        <v>109</v>
      </c>
      <c r="K16" s="190">
        <v>109</v>
      </c>
      <c r="L16" s="276">
        <v>111</v>
      </c>
      <c r="M16" s="316">
        <v>106</v>
      </c>
    </row>
    <row r="17" spans="1:13" ht="24.75" customHeight="1">
      <c r="A17" s="180" t="s">
        <v>28</v>
      </c>
      <c r="B17" s="186">
        <v>180</v>
      </c>
      <c r="C17" s="182">
        <v>175</v>
      </c>
      <c r="D17" s="183">
        <v>171</v>
      </c>
      <c r="E17" s="184">
        <v>173</v>
      </c>
      <c r="F17" s="185">
        <v>175</v>
      </c>
      <c r="G17" s="184">
        <v>181</v>
      </c>
      <c r="H17" s="183">
        <v>178</v>
      </c>
      <c r="I17" s="190">
        <v>177</v>
      </c>
      <c r="J17" s="190">
        <v>181</v>
      </c>
      <c r="K17" s="190">
        <v>186</v>
      </c>
      <c r="L17" s="276">
        <v>199</v>
      </c>
      <c r="M17" s="316">
        <v>204</v>
      </c>
    </row>
    <row r="18" spans="1:13" ht="24.75" customHeight="1">
      <c r="A18" s="180"/>
      <c r="B18" s="186"/>
      <c r="C18" s="182"/>
      <c r="D18" s="187"/>
      <c r="E18" s="188"/>
      <c r="F18" s="189"/>
      <c r="G18" s="188"/>
      <c r="H18" s="187"/>
      <c r="I18" s="190"/>
      <c r="J18" s="190"/>
      <c r="K18" s="190"/>
      <c r="L18" s="276"/>
      <c r="M18" s="276"/>
    </row>
    <row r="19" spans="1:13" ht="24.75" customHeight="1">
      <c r="A19" s="180" t="s">
        <v>41</v>
      </c>
      <c r="B19" s="186">
        <v>5127</v>
      </c>
      <c r="C19" s="182">
        <v>5212</v>
      </c>
      <c r="D19" s="183">
        <v>5326</v>
      </c>
      <c r="E19" s="184">
        <v>5459</v>
      </c>
      <c r="F19" s="185">
        <v>5555</v>
      </c>
      <c r="G19" s="184">
        <v>5575</v>
      </c>
      <c r="H19" s="183">
        <v>5407</v>
      </c>
      <c r="I19" s="190">
        <v>5360</v>
      </c>
      <c r="J19" s="190">
        <v>5179</v>
      </c>
      <c r="K19" s="190">
        <v>5106</v>
      </c>
      <c r="L19" s="276">
        <v>4990</v>
      </c>
      <c r="M19" s="316">
        <v>4705</v>
      </c>
    </row>
    <row r="20" spans="1:13" ht="24.75" customHeight="1">
      <c r="A20" s="180" t="s">
        <v>42</v>
      </c>
      <c r="B20" s="186">
        <v>29</v>
      </c>
      <c r="C20" s="182">
        <v>29</v>
      </c>
      <c r="D20" s="183">
        <v>30</v>
      </c>
      <c r="E20" s="184">
        <v>29</v>
      </c>
      <c r="F20" s="185">
        <v>35</v>
      </c>
      <c r="G20" s="184">
        <v>36</v>
      </c>
      <c r="H20" s="183">
        <v>38</v>
      </c>
      <c r="I20" s="190">
        <v>38</v>
      </c>
      <c r="J20" s="190">
        <v>37</v>
      </c>
      <c r="K20" s="190">
        <v>35</v>
      </c>
      <c r="L20" s="276">
        <v>36</v>
      </c>
      <c r="M20" s="316">
        <v>38</v>
      </c>
    </row>
    <row r="21" spans="1:13" ht="24.75" customHeight="1">
      <c r="A21" s="180" t="s">
        <v>43</v>
      </c>
      <c r="B21" s="186">
        <v>380</v>
      </c>
      <c r="C21" s="182">
        <v>414</v>
      </c>
      <c r="D21" s="183">
        <v>432</v>
      </c>
      <c r="E21" s="184">
        <v>459</v>
      </c>
      <c r="F21" s="185">
        <v>472</v>
      </c>
      <c r="G21" s="184">
        <v>488</v>
      </c>
      <c r="H21" s="183">
        <v>507</v>
      </c>
      <c r="I21" s="190">
        <v>508</v>
      </c>
      <c r="J21" s="190">
        <v>500</v>
      </c>
      <c r="K21" s="190">
        <v>461</v>
      </c>
      <c r="L21" s="276">
        <v>386</v>
      </c>
      <c r="M21" s="316">
        <v>336</v>
      </c>
    </row>
    <row r="22" spans="1:13" ht="24.75" customHeight="1">
      <c r="A22" s="180" t="s">
        <v>44</v>
      </c>
      <c r="B22" s="186">
        <v>7156</v>
      </c>
      <c r="C22" s="182">
        <v>7235</v>
      </c>
      <c r="D22" s="183">
        <v>7127</v>
      </c>
      <c r="E22" s="184">
        <v>6968</v>
      </c>
      <c r="F22" s="185">
        <v>6641</v>
      </c>
      <c r="G22" s="184">
        <v>6392</v>
      </c>
      <c r="H22" s="183">
        <v>6416</v>
      </c>
      <c r="I22" s="190">
        <v>6423</v>
      </c>
      <c r="J22" s="190">
        <v>6238</v>
      </c>
      <c r="K22" s="190">
        <v>6074</v>
      </c>
      <c r="L22" s="276">
        <v>5775</v>
      </c>
      <c r="M22" s="316">
        <v>5531</v>
      </c>
    </row>
    <row r="23" spans="1:13" ht="24.75" customHeight="1">
      <c r="A23" s="180" t="s">
        <v>45</v>
      </c>
      <c r="B23" s="186">
        <v>157</v>
      </c>
      <c r="C23" s="182">
        <v>161</v>
      </c>
      <c r="D23" s="183">
        <v>157</v>
      </c>
      <c r="E23" s="184">
        <v>161</v>
      </c>
      <c r="F23" s="185">
        <v>166</v>
      </c>
      <c r="G23" s="184">
        <v>168</v>
      </c>
      <c r="H23" s="183">
        <v>164</v>
      </c>
      <c r="I23" s="190">
        <v>170</v>
      </c>
      <c r="J23" s="190">
        <v>164</v>
      </c>
      <c r="K23" s="190">
        <v>163</v>
      </c>
      <c r="L23" s="276">
        <v>164</v>
      </c>
      <c r="M23" s="316">
        <v>158</v>
      </c>
    </row>
    <row r="24" spans="1:13" ht="24.75" customHeight="1">
      <c r="A24" s="180"/>
      <c r="B24" s="186"/>
      <c r="C24" s="182"/>
      <c r="D24" s="187"/>
      <c r="E24" s="188"/>
      <c r="F24" s="189"/>
      <c r="G24" s="188"/>
      <c r="H24" s="187"/>
      <c r="I24" s="190"/>
      <c r="J24" s="190"/>
      <c r="K24" s="190"/>
      <c r="L24" s="276"/>
      <c r="M24" s="276"/>
    </row>
    <row r="25" spans="1:13" ht="24.75" customHeight="1">
      <c r="A25" s="180" t="s">
        <v>46</v>
      </c>
      <c r="B25" s="186">
        <v>3829</v>
      </c>
      <c r="C25" s="182">
        <v>3781</v>
      </c>
      <c r="D25" s="183">
        <v>3633</v>
      </c>
      <c r="E25" s="184">
        <v>3494</v>
      </c>
      <c r="F25" s="185">
        <v>3320</v>
      </c>
      <c r="G25" s="184">
        <v>3197</v>
      </c>
      <c r="H25" s="183">
        <v>3163</v>
      </c>
      <c r="I25" s="190">
        <v>3088</v>
      </c>
      <c r="J25" s="190">
        <v>2963</v>
      </c>
      <c r="K25" s="190">
        <v>2870</v>
      </c>
      <c r="L25" s="276">
        <v>2793</v>
      </c>
      <c r="M25" s="316">
        <v>2718</v>
      </c>
    </row>
    <row r="26" spans="1:13" ht="24.75" customHeight="1">
      <c r="A26" s="180" t="s">
        <v>47</v>
      </c>
      <c r="B26" s="186">
        <v>40</v>
      </c>
      <c r="C26" s="182">
        <v>39</v>
      </c>
      <c r="D26" s="183">
        <v>35</v>
      </c>
      <c r="E26" s="184">
        <v>33</v>
      </c>
      <c r="F26" s="185">
        <v>35</v>
      </c>
      <c r="G26" s="184">
        <v>33</v>
      </c>
      <c r="H26" s="183">
        <v>34</v>
      </c>
      <c r="I26" s="190">
        <v>31</v>
      </c>
      <c r="J26" s="190">
        <v>29</v>
      </c>
      <c r="K26" s="190">
        <v>29</v>
      </c>
      <c r="L26" s="276">
        <v>28</v>
      </c>
      <c r="M26" s="316">
        <v>25</v>
      </c>
    </row>
    <row r="27" spans="1:13" ht="24.75" customHeight="1">
      <c r="A27" s="180" t="s">
        <v>48</v>
      </c>
      <c r="B27" s="186">
        <v>12</v>
      </c>
      <c r="C27" s="182">
        <v>12</v>
      </c>
      <c r="D27" s="183">
        <v>11</v>
      </c>
      <c r="E27" s="184">
        <v>10</v>
      </c>
      <c r="F27" s="185">
        <v>11</v>
      </c>
      <c r="G27" s="184">
        <v>12</v>
      </c>
      <c r="H27" s="183">
        <v>11</v>
      </c>
      <c r="I27" s="190">
        <v>11</v>
      </c>
      <c r="J27" s="190">
        <v>11</v>
      </c>
      <c r="K27" s="190">
        <v>10</v>
      </c>
      <c r="L27" s="276">
        <v>8</v>
      </c>
      <c r="M27" s="316">
        <v>7</v>
      </c>
    </row>
    <row r="28" spans="1:13" ht="24.75" customHeight="1">
      <c r="A28" s="180" t="s">
        <v>49</v>
      </c>
      <c r="B28" s="186">
        <v>10</v>
      </c>
      <c r="C28" s="182">
        <v>8</v>
      </c>
      <c r="D28" s="183">
        <v>9</v>
      </c>
      <c r="E28" s="184">
        <v>10</v>
      </c>
      <c r="F28" s="185">
        <v>12</v>
      </c>
      <c r="G28" s="184">
        <v>16</v>
      </c>
      <c r="H28" s="183">
        <v>19</v>
      </c>
      <c r="I28" s="190">
        <v>25</v>
      </c>
      <c r="J28" s="190">
        <v>26</v>
      </c>
      <c r="K28" s="190">
        <v>23</v>
      </c>
      <c r="L28" s="276">
        <v>25</v>
      </c>
      <c r="M28" s="316">
        <v>25</v>
      </c>
    </row>
    <row r="29" spans="1:13" ht="24.75" customHeight="1">
      <c r="A29" s="180" t="s">
        <v>29</v>
      </c>
      <c r="B29" s="186" t="s">
        <v>209</v>
      </c>
      <c r="C29" s="182" t="s">
        <v>209</v>
      </c>
      <c r="D29" s="183" t="s">
        <v>209</v>
      </c>
      <c r="E29" s="183" t="s">
        <v>209</v>
      </c>
      <c r="F29" s="183" t="s">
        <v>209</v>
      </c>
      <c r="G29" s="183" t="s">
        <v>209</v>
      </c>
      <c r="H29" s="183" t="s">
        <v>209</v>
      </c>
      <c r="I29" s="183" t="s">
        <v>209</v>
      </c>
      <c r="J29" s="183" t="s">
        <v>209</v>
      </c>
      <c r="K29" s="183" t="s">
        <v>209</v>
      </c>
      <c r="L29" s="280">
        <v>0</v>
      </c>
      <c r="M29" s="317">
        <v>0</v>
      </c>
    </row>
    <row r="30" spans="1:13" ht="24.75" customHeight="1">
      <c r="A30" s="180"/>
      <c r="B30" s="186"/>
      <c r="C30" s="182"/>
      <c r="D30" s="187"/>
      <c r="E30" s="188"/>
      <c r="F30" s="189"/>
      <c r="G30" s="188"/>
      <c r="H30" s="187"/>
      <c r="I30" s="190"/>
      <c r="J30" s="190"/>
      <c r="K30" s="190"/>
      <c r="L30" s="276"/>
      <c r="M30" s="276"/>
    </row>
    <row r="31" spans="1:13" ht="24.75" customHeight="1">
      <c r="A31" s="180" t="s">
        <v>50</v>
      </c>
      <c r="B31" s="186">
        <v>277</v>
      </c>
      <c r="C31" s="182">
        <v>278</v>
      </c>
      <c r="D31" s="183">
        <v>277</v>
      </c>
      <c r="E31" s="184">
        <v>284</v>
      </c>
      <c r="F31" s="185">
        <v>285</v>
      </c>
      <c r="G31" s="184">
        <v>292</v>
      </c>
      <c r="H31" s="183">
        <v>295</v>
      </c>
      <c r="I31" s="190">
        <v>309</v>
      </c>
      <c r="J31" s="190">
        <v>307</v>
      </c>
      <c r="K31" s="190">
        <v>336</v>
      </c>
      <c r="L31" s="276">
        <v>337</v>
      </c>
      <c r="M31" s="316">
        <v>334</v>
      </c>
    </row>
    <row r="32" spans="1:13" ht="24.75" customHeight="1">
      <c r="A32" s="180" t="s">
        <v>51</v>
      </c>
      <c r="B32" s="186">
        <v>87</v>
      </c>
      <c r="C32" s="182">
        <v>83</v>
      </c>
      <c r="D32" s="183">
        <v>79</v>
      </c>
      <c r="E32" s="184">
        <v>77</v>
      </c>
      <c r="F32" s="185">
        <v>74</v>
      </c>
      <c r="G32" s="184">
        <v>73</v>
      </c>
      <c r="H32" s="183">
        <v>73</v>
      </c>
      <c r="I32" s="190">
        <v>72</v>
      </c>
      <c r="J32" s="190">
        <v>71</v>
      </c>
      <c r="K32" s="190">
        <v>71</v>
      </c>
      <c r="L32" s="276">
        <v>71</v>
      </c>
      <c r="M32" s="316">
        <v>66</v>
      </c>
    </row>
    <row r="33" spans="1:13" ht="24.75" customHeight="1">
      <c r="A33" s="180" t="s">
        <v>52</v>
      </c>
      <c r="B33" s="186">
        <v>25</v>
      </c>
      <c r="C33" s="182">
        <v>23</v>
      </c>
      <c r="D33" s="183">
        <v>23</v>
      </c>
      <c r="E33" s="184">
        <v>26</v>
      </c>
      <c r="F33" s="185">
        <v>27</v>
      </c>
      <c r="G33" s="184">
        <v>24</v>
      </c>
      <c r="H33" s="183">
        <v>27</v>
      </c>
      <c r="I33" s="190">
        <v>29</v>
      </c>
      <c r="J33" s="190">
        <v>28</v>
      </c>
      <c r="K33" s="190">
        <v>29</v>
      </c>
      <c r="L33" s="276">
        <v>30</v>
      </c>
      <c r="M33" s="316">
        <v>32</v>
      </c>
    </row>
    <row r="34" spans="1:13" ht="24.75" customHeight="1">
      <c r="A34" s="180" t="s">
        <v>53</v>
      </c>
      <c r="B34" s="186">
        <v>107</v>
      </c>
      <c r="C34" s="182">
        <v>106</v>
      </c>
      <c r="D34" s="183">
        <v>100</v>
      </c>
      <c r="E34" s="184">
        <v>97</v>
      </c>
      <c r="F34" s="185">
        <v>95</v>
      </c>
      <c r="G34" s="184">
        <v>92</v>
      </c>
      <c r="H34" s="183">
        <v>92</v>
      </c>
      <c r="I34" s="190">
        <v>90</v>
      </c>
      <c r="J34" s="190">
        <v>87</v>
      </c>
      <c r="K34" s="190">
        <v>87</v>
      </c>
      <c r="L34" s="276">
        <v>88</v>
      </c>
      <c r="M34" s="316">
        <v>88</v>
      </c>
    </row>
    <row r="35" spans="1:13" ht="24.75" customHeight="1">
      <c r="A35" s="180" t="s">
        <v>54</v>
      </c>
      <c r="B35" s="186">
        <v>398</v>
      </c>
      <c r="C35" s="182">
        <v>379</v>
      </c>
      <c r="D35" s="183">
        <v>369</v>
      </c>
      <c r="E35" s="184">
        <v>361</v>
      </c>
      <c r="F35" s="185">
        <v>338</v>
      </c>
      <c r="G35" s="184">
        <v>329</v>
      </c>
      <c r="H35" s="183">
        <v>324</v>
      </c>
      <c r="I35" s="190">
        <v>302</v>
      </c>
      <c r="J35" s="190">
        <v>283</v>
      </c>
      <c r="K35" s="190">
        <v>272</v>
      </c>
      <c r="L35" s="276">
        <v>264</v>
      </c>
      <c r="M35" s="316">
        <v>248</v>
      </c>
    </row>
    <row r="36" spans="1:13" ht="24.75" customHeight="1">
      <c r="A36" s="180"/>
      <c r="B36" s="186"/>
      <c r="C36" s="182"/>
      <c r="D36" s="187"/>
      <c r="E36" s="188"/>
      <c r="F36" s="189"/>
      <c r="G36" s="188"/>
      <c r="H36" s="187"/>
      <c r="I36" s="190"/>
      <c r="J36" s="190"/>
      <c r="K36" s="190"/>
      <c r="L36" s="276"/>
      <c r="M36" s="276"/>
    </row>
    <row r="37" spans="1:13" ht="24.75" customHeight="1">
      <c r="A37" s="180" t="s">
        <v>55</v>
      </c>
      <c r="B37" s="186">
        <v>42</v>
      </c>
      <c r="C37" s="182">
        <v>42</v>
      </c>
      <c r="D37" s="183">
        <v>44</v>
      </c>
      <c r="E37" s="184">
        <v>42</v>
      </c>
      <c r="F37" s="185">
        <v>41</v>
      </c>
      <c r="G37" s="184">
        <v>41</v>
      </c>
      <c r="H37" s="183">
        <v>42</v>
      </c>
      <c r="I37" s="190">
        <v>45</v>
      </c>
      <c r="J37" s="190">
        <v>45</v>
      </c>
      <c r="K37" s="190">
        <v>44</v>
      </c>
      <c r="L37" s="276">
        <v>43</v>
      </c>
      <c r="M37" s="316">
        <v>40</v>
      </c>
    </row>
    <row r="38" spans="1:13" ht="24.75" customHeight="1">
      <c r="A38" s="180" t="s">
        <v>56</v>
      </c>
      <c r="B38" s="186">
        <v>314</v>
      </c>
      <c r="C38" s="182">
        <v>318</v>
      </c>
      <c r="D38" s="183">
        <v>328</v>
      </c>
      <c r="E38" s="184">
        <v>340</v>
      </c>
      <c r="F38" s="185">
        <v>351</v>
      </c>
      <c r="G38" s="184">
        <v>373</v>
      </c>
      <c r="H38" s="183">
        <v>384</v>
      </c>
      <c r="I38" s="190">
        <v>388</v>
      </c>
      <c r="J38" s="190">
        <v>395</v>
      </c>
      <c r="K38" s="190">
        <v>408</v>
      </c>
      <c r="L38" s="276">
        <v>408</v>
      </c>
      <c r="M38" s="316">
        <v>419</v>
      </c>
    </row>
    <row r="39" spans="1:13" ht="24.75" customHeight="1">
      <c r="A39" s="180" t="s">
        <v>57</v>
      </c>
      <c r="B39" s="186">
        <v>606</v>
      </c>
      <c r="C39" s="182">
        <v>623</v>
      </c>
      <c r="D39" s="183">
        <v>626</v>
      </c>
      <c r="E39" s="184">
        <v>646</v>
      </c>
      <c r="F39" s="185">
        <v>679</v>
      </c>
      <c r="G39" s="184">
        <v>701</v>
      </c>
      <c r="H39" s="183">
        <v>723</v>
      </c>
      <c r="I39" s="190">
        <v>739</v>
      </c>
      <c r="J39" s="190">
        <v>761</v>
      </c>
      <c r="K39" s="190">
        <v>812</v>
      </c>
      <c r="L39" s="276">
        <v>864</v>
      </c>
      <c r="M39" s="316">
        <v>864</v>
      </c>
    </row>
    <row r="40" spans="1:13" ht="31.5" customHeight="1">
      <c r="A40" s="42" t="s">
        <v>279</v>
      </c>
      <c r="B40" s="186">
        <v>29</v>
      </c>
      <c r="C40" s="182">
        <v>30</v>
      </c>
      <c r="D40" s="191">
        <v>30</v>
      </c>
      <c r="E40" s="192">
        <v>35</v>
      </c>
      <c r="F40" s="193">
        <v>35</v>
      </c>
      <c r="G40" s="192">
        <v>38</v>
      </c>
      <c r="H40" s="191">
        <v>38</v>
      </c>
      <c r="I40" s="182">
        <v>38</v>
      </c>
      <c r="J40" s="182">
        <v>39</v>
      </c>
      <c r="K40" s="182">
        <v>38</v>
      </c>
      <c r="L40" s="291">
        <v>39</v>
      </c>
      <c r="M40" s="318">
        <v>36</v>
      </c>
    </row>
    <row r="41" spans="1:13" ht="24.75" customHeight="1">
      <c r="A41" s="180" t="s">
        <v>58</v>
      </c>
      <c r="B41" s="186" t="s">
        <v>209</v>
      </c>
      <c r="C41" s="182" t="s">
        <v>209</v>
      </c>
      <c r="D41" s="183" t="s">
        <v>209</v>
      </c>
      <c r="E41" s="183" t="s">
        <v>209</v>
      </c>
      <c r="F41" s="183" t="s">
        <v>209</v>
      </c>
      <c r="G41" s="183" t="s">
        <v>209</v>
      </c>
      <c r="H41" s="183" t="s">
        <v>209</v>
      </c>
      <c r="I41" s="183" t="s">
        <v>209</v>
      </c>
      <c r="J41" s="183" t="s">
        <v>209</v>
      </c>
      <c r="K41" s="183" t="s">
        <v>209</v>
      </c>
      <c r="L41" s="280">
        <v>0</v>
      </c>
      <c r="M41" s="317">
        <v>0</v>
      </c>
    </row>
    <row r="42" spans="1:13" ht="24.75" customHeight="1">
      <c r="A42" s="180"/>
      <c r="B42" s="186"/>
      <c r="C42" s="182"/>
      <c r="D42" s="187"/>
      <c r="E42" s="188"/>
      <c r="F42" s="189"/>
      <c r="G42" s="188"/>
      <c r="H42" s="187"/>
      <c r="I42" s="190"/>
      <c r="J42" s="190"/>
      <c r="K42" s="190"/>
      <c r="L42" s="276"/>
      <c r="M42" s="276"/>
    </row>
    <row r="43" spans="1:13" ht="24.75" customHeight="1">
      <c r="A43" s="180" t="s">
        <v>59</v>
      </c>
      <c r="B43" s="186">
        <v>61</v>
      </c>
      <c r="C43" s="182">
        <v>65</v>
      </c>
      <c r="D43" s="183">
        <v>65</v>
      </c>
      <c r="E43" s="184">
        <v>69</v>
      </c>
      <c r="F43" s="185">
        <v>72</v>
      </c>
      <c r="G43" s="184">
        <v>75</v>
      </c>
      <c r="H43" s="183">
        <v>75</v>
      </c>
      <c r="I43" s="190">
        <v>75</v>
      </c>
      <c r="J43" s="190">
        <v>73</v>
      </c>
      <c r="K43" s="190">
        <v>71</v>
      </c>
      <c r="L43" s="276">
        <v>72</v>
      </c>
      <c r="M43" s="316">
        <v>72</v>
      </c>
    </row>
    <row r="44" spans="1:13" ht="24.75" customHeight="1">
      <c r="A44" s="180" t="s">
        <v>60</v>
      </c>
      <c r="B44" s="186">
        <v>56</v>
      </c>
      <c r="C44" s="182">
        <v>53</v>
      </c>
      <c r="D44" s="183">
        <v>49</v>
      </c>
      <c r="E44" s="184">
        <v>49</v>
      </c>
      <c r="F44" s="185">
        <v>45</v>
      </c>
      <c r="G44" s="184">
        <v>43</v>
      </c>
      <c r="H44" s="183">
        <v>40</v>
      </c>
      <c r="I44" s="190">
        <v>38</v>
      </c>
      <c r="J44" s="190">
        <v>34</v>
      </c>
      <c r="K44" s="190">
        <v>31</v>
      </c>
      <c r="L44" s="276">
        <v>33</v>
      </c>
      <c r="M44" s="316">
        <v>29</v>
      </c>
    </row>
    <row r="45" spans="1:13" ht="24.75" customHeight="1" thickBot="1">
      <c r="A45" s="181" t="s">
        <v>61</v>
      </c>
      <c r="B45" s="194">
        <v>103</v>
      </c>
      <c r="C45" s="195">
        <v>103</v>
      </c>
      <c r="D45" s="196">
        <v>98</v>
      </c>
      <c r="E45" s="197">
        <v>94</v>
      </c>
      <c r="F45" s="198">
        <v>91</v>
      </c>
      <c r="G45" s="197">
        <v>92</v>
      </c>
      <c r="H45" s="196">
        <v>90</v>
      </c>
      <c r="I45" s="196">
        <v>82</v>
      </c>
      <c r="J45" s="190">
        <v>78</v>
      </c>
      <c r="K45" s="190">
        <v>76</v>
      </c>
      <c r="L45" s="292">
        <v>74</v>
      </c>
      <c r="M45" s="319">
        <v>71</v>
      </c>
    </row>
    <row r="46" spans="1:13" ht="15">
      <c r="A46" s="158"/>
      <c r="J46" s="472" t="s">
        <v>211</v>
      </c>
      <c r="K46" s="472"/>
      <c r="L46" s="472"/>
      <c r="M46" s="472"/>
    </row>
    <row r="47" spans="2:8" ht="13.5">
      <c r="B47" s="6"/>
      <c r="C47" s="6"/>
      <c r="D47" s="6"/>
      <c r="E47" s="6"/>
      <c r="F47" s="6"/>
      <c r="G47" s="6"/>
      <c r="H47" s="6"/>
    </row>
  </sheetData>
  <sheetProtection/>
  <mergeCells count="1">
    <mergeCell ref="J46:M46"/>
  </mergeCells>
  <printOptions horizontalCentered="1"/>
  <pageMargins left="0.7086614173228347" right="0.6692913385826772" top="0.984251968503937" bottom="0.984251968503937" header="0.5118110236220472" footer="0.5118110236220472"/>
  <pageSetup firstPageNumber="229" useFirstPageNumber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pane ySplit="3" topLeftCell="A19" activePane="bottomLeft" state="frozen"/>
      <selection pane="topLeft" activeCell="D38" sqref="D38"/>
      <selection pane="bottomLeft" activeCell="E27" sqref="E27"/>
    </sheetView>
  </sheetViews>
  <sheetFormatPr defaultColWidth="9.00390625" defaultRowHeight="13.5"/>
  <cols>
    <col min="1" max="1" width="13.75390625" style="1" customWidth="1"/>
    <col min="2" max="8" width="12.25390625" style="1" customWidth="1"/>
    <col min="9" max="16384" width="9.00390625" style="1" customWidth="1"/>
  </cols>
  <sheetData>
    <row r="1" s="10" customFormat="1" ht="21" customHeight="1">
      <c r="A1" s="10" t="s">
        <v>263</v>
      </c>
    </row>
    <row r="2" ht="21" customHeight="1" thickBot="1">
      <c r="I2" s="3"/>
    </row>
    <row r="3" spans="1:9" s="23" customFormat="1" ht="21" customHeight="1">
      <c r="A3" s="143" t="s">
        <v>187</v>
      </c>
      <c r="B3" s="142" t="s">
        <v>172</v>
      </c>
      <c r="C3" s="143" t="s">
        <v>168</v>
      </c>
      <c r="D3" s="142" t="s">
        <v>264</v>
      </c>
      <c r="E3" s="143" t="s">
        <v>169</v>
      </c>
      <c r="F3" s="142" t="s">
        <v>170</v>
      </c>
      <c r="G3" s="142" t="s">
        <v>171</v>
      </c>
      <c r="H3" s="143" t="s">
        <v>173</v>
      </c>
      <c r="I3" s="26"/>
    </row>
    <row r="4" spans="1:9" ht="21" customHeight="1">
      <c r="A4" s="148" t="s">
        <v>293</v>
      </c>
      <c r="B4" s="58">
        <f aca="true" t="shared" si="0" ref="B4:B18">-SUM(C4:H4)</f>
        <v>0</v>
      </c>
      <c r="C4" s="58" t="s">
        <v>261</v>
      </c>
      <c r="D4" s="58" t="s">
        <v>261</v>
      </c>
      <c r="E4" s="58" t="s">
        <v>261</v>
      </c>
      <c r="F4" s="58" t="s">
        <v>261</v>
      </c>
      <c r="G4" s="58" t="s">
        <v>261</v>
      </c>
      <c r="H4" s="59" t="s">
        <v>261</v>
      </c>
      <c r="I4" s="25"/>
    </row>
    <row r="5" spans="1:9" ht="21" customHeight="1">
      <c r="A5" s="246">
        <v>7</v>
      </c>
      <c r="B5" s="58">
        <f t="shared" si="0"/>
        <v>0</v>
      </c>
      <c r="C5" s="58" t="s">
        <v>261</v>
      </c>
      <c r="D5" s="58" t="s">
        <v>261</v>
      </c>
      <c r="E5" s="58" t="s">
        <v>261</v>
      </c>
      <c r="F5" s="58" t="s">
        <v>261</v>
      </c>
      <c r="G5" s="58" t="s">
        <v>261</v>
      </c>
      <c r="H5" s="59" t="s">
        <v>261</v>
      </c>
      <c r="I5" s="25"/>
    </row>
    <row r="6" spans="1:9" ht="21" customHeight="1">
      <c r="A6" s="246">
        <v>8</v>
      </c>
      <c r="B6" s="58">
        <f t="shared" si="0"/>
        <v>0</v>
      </c>
      <c r="C6" s="58" t="s">
        <v>261</v>
      </c>
      <c r="D6" s="58" t="s">
        <v>261</v>
      </c>
      <c r="E6" s="58" t="s">
        <v>261</v>
      </c>
      <c r="F6" s="58" t="s">
        <v>261</v>
      </c>
      <c r="G6" s="58" t="s">
        <v>261</v>
      </c>
      <c r="H6" s="59" t="s">
        <v>261</v>
      </c>
      <c r="I6" s="25"/>
    </row>
    <row r="7" spans="1:9" ht="21" customHeight="1">
      <c r="A7" s="246">
        <v>9</v>
      </c>
      <c r="B7" s="58">
        <f t="shared" si="0"/>
        <v>0</v>
      </c>
      <c r="C7" s="58" t="s">
        <v>261</v>
      </c>
      <c r="D7" s="58" t="s">
        <v>261</v>
      </c>
      <c r="E7" s="58" t="s">
        <v>261</v>
      </c>
      <c r="F7" s="58" t="s">
        <v>261</v>
      </c>
      <c r="G7" s="58" t="s">
        <v>261</v>
      </c>
      <c r="H7" s="59" t="s">
        <v>261</v>
      </c>
      <c r="I7" s="25"/>
    </row>
    <row r="8" spans="1:9" ht="21" customHeight="1">
      <c r="A8" s="154">
        <v>10</v>
      </c>
      <c r="B8" s="58">
        <f t="shared" si="0"/>
        <v>0</v>
      </c>
      <c r="C8" s="58" t="s">
        <v>261</v>
      </c>
      <c r="D8" s="58" t="s">
        <v>261</v>
      </c>
      <c r="E8" s="58" t="s">
        <v>261</v>
      </c>
      <c r="F8" s="58" t="s">
        <v>261</v>
      </c>
      <c r="G8" s="58" t="s">
        <v>261</v>
      </c>
      <c r="H8" s="59" t="s">
        <v>261</v>
      </c>
      <c r="I8" s="25"/>
    </row>
    <row r="9" spans="1:9" ht="21" customHeight="1">
      <c r="A9" s="154">
        <v>11</v>
      </c>
      <c r="B9" s="58">
        <f t="shared" si="0"/>
        <v>0</v>
      </c>
      <c r="C9" s="58" t="s">
        <v>261</v>
      </c>
      <c r="D9" s="58" t="s">
        <v>261</v>
      </c>
      <c r="E9" s="58" t="s">
        <v>261</v>
      </c>
      <c r="F9" s="58" t="s">
        <v>261</v>
      </c>
      <c r="G9" s="58" t="s">
        <v>261</v>
      </c>
      <c r="H9" s="59" t="s">
        <v>261</v>
      </c>
      <c r="I9" s="25"/>
    </row>
    <row r="10" spans="1:9" ht="21" customHeight="1">
      <c r="A10" s="154">
        <v>12</v>
      </c>
      <c r="B10" s="58">
        <f t="shared" si="0"/>
        <v>0</v>
      </c>
      <c r="C10" s="58" t="s">
        <v>261</v>
      </c>
      <c r="D10" s="58" t="s">
        <v>261</v>
      </c>
      <c r="E10" s="58" t="s">
        <v>261</v>
      </c>
      <c r="F10" s="58" t="s">
        <v>261</v>
      </c>
      <c r="G10" s="58" t="s">
        <v>261</v>
      </c>
      <c r="H10" s="59" t="s">
        <v>261</v>
      </c>
      <c r="I10" s="25"/>
    </row>
    <row r="11" spans="1:9" ht="21" customHeight="1">
      <c r="A11" s="154">
        <v>13</v>
      </c>
      <c r="B11" s="58">
        <f t="shared" si="0"/>
        <v>0</v>
      </c>
      <c r="C11" s="58" t="s">
        <v>261</v>
      </c>
      <c r="D11" s="58" t="s">
        <v>261</v>
      </c>
      <c r="E11" s="58" t="s">
        <v>261</v>
      </c>
      <c r="F11" s="58" t="s">
        <v>261</v>
      </c>
      <c r="G11" s="58" t="s">
        <v>261</v>
      </c>
      <c r="H11" s="59" t="s">
        <v>261</v>
      </c>
      <c r="I11" s="25"/>
    </row>
    <row r="12" spans="1:9" ht="21" customHeight="1">
      <c r="A12" s="154">
        <v>14</v>
      </c>
      <c r="B12" s="58">
        <f t="shared" si="0"/>
        <v>0</v>
      </c>
      <c r="C12" s="58" t="s">
        <v>261</v>
      </c>
      <c r="D12" s="58" t="s">
        <v>261</v>
      </c>
      <c r="E12" s="58" t="s">
        <v>261</v>
      </c>
      <c r="F12" s="58" t="s">
        <v>261</v>
      </c>
      <c r="G12" s="58" t="s">
        <v>261</v>
      </c>
      <c r="H12" s="59" t="s">
        <v>261</v>
      </c>
      <c r="I12" s="25"/>
    </row>
    <row r="13" spans="1:9" ht="21" customHeight="1">
      <c r="A13" s="154">
        <v>15</v>
      </c>
      <c r="B13" s="58">
        <f t="shared" si="0"/>
        <v>0</v>
      </c>
      <c r="C13" s="58" t="s">
        <v>261</v>
      </c>
      <c r="D13" s="58" t="s">
        <v>261</v>
      </c>
      <c r="E13" s="58" t="s">
        <v>261</v>
      </c>
      <c r="F13" s="58" t="s">
        <v>261</v>
      </c>
      <c r="G13" s="58" t="s">
        <v>261</v>
      </c>
      <c r="H13" s="59" t="s">
        <v>261</v>
      </c>
      <c r="I13" s="25"/>
    </row>
    <row r="14" spans="1:9" ht="21" customHeight="1">
      <c r="A14" s="154">
        <v>16</v>
      </c>
      <c r="B14" s="58">
        <f t="shared" si="0"/>
        <v>0</v>
      </c>
      <c r="C14" s="58" t="s">
        <v>261</v>
      </c>
      <c r="D14" s="58" t="s">
        <v>261</v>
      </c>
      <c r="E14" s="58" t="s">
        <v>261</v>
      </c>
      <c r="F14" s="58" t="s">
        <v>261</v>
      </c>
      <c r="G14" s="58" t="s">
        <v>261</v>
      </c>
      <c r="H14" s="59" t="s">
        <v>261</v>
      </c>
      <c r="I14" s="25"/>
    </row>
    <row r="15" spans="1:9" ht="21" customHeight="1">
      <c r="A15" s="154">
        <v>17</v>
      </c>
      <c r="B15" s="58">
        <f t="shared" si="0"/>
        <v>0</v>
      </c>
      <c r="C15" s="58" t="s">
        <v>261</v>
      </c>
      <c r="D15" s="58" t="s">
        <v>261</v>
      </c>
      <c r="E15" s="58" t="s">
        <v>261</v>
      </c>
      <c r="F15" s="58" t="s">
        <v>261</v>
      </c>
      <c r="G15" s="58" t="s">
        <v>261</v>
      </c>
      <c r="H15" s="59" t="s">
        <v>261</v>
      </c>
      <c r="I15" s="25"/>
    </row>
    <row r="16" spans="1:9" ht="21" customHeight="1">
      <c r="A16" s="154">
        <v>18</v>
      </c>
      <c r="B16" s="58">
        <f t="shared" si="0"/>
        <v>0</v>
      </c>
      <c r="C16" s="58" t="s">
        <v>261</v>
      </c>
      <c r="D16" s="58" t="s">
        <v>261</v>
      </c>
      <c r="E16" s="58" t="s">
        <v>261</v>
      </c>
      <c r="F16" s="58" t="s">
        <v>261</v>
      </c>
      <c r="G16" s="58" t="s">
        <v>261</v>
      </c>
      <c r="H16" s="59" t="s">
        <v>261</v>
      </c>
      <c r="I16" s="25"/>
    </row>
    <row r="17" spans="1:9" ht="21" customHeight="1">
      <c r="A17" s="154">
        <v>19</v>
      </c>
      <c r="B17" s="58">
        <f>-SUM(C17:H17)</f>
        <v>0</v>
      </c>
      <c r="C17" s="58" t="s">
        <v>261</v>
      </c>
      <c r="D17" s="58" t="s">
        <v>261</v>
      </c>
      <c r="E17" s="58" t="s">
        <v>261</v>
      </c>
      <c r="F17" s="58" t="s">
        <v>261</v>
      </c>
      <c r="G17" s="58" t="s">
        <v>261</v>
      </c>
      <c r="H17" s="59" t="s">
        <v>261</v>
      </c>
      <c r="I17" s="25"/>
    </row>
    <row r="18" spans="1:9" ht="21" customHeight="1">
      <c r="A18" s="154">
        <v>20</v>
      </c>
      <c r="B18" s="58">
        <f t="shared" si="0"/>
        <v>0</v>
      </c>
      <c r="C18" s="58" t="s">
        <v>209</v>
      </c>
      <c r="D18" s="58" t="s">
        <v>209</v>
      </c>
      <c r="E18" s="58" t="s">
        <v>209</v>
      </c>
      <c r="F18" s="58" t="s">
        <v>209</v>
      </c>
      <c r="G18" s="58" t="s">
        <v>209</v>
      </c>
      <c r="H18" s="59" t="s">
        <v>209</v>
      </c>
      <c r="I18" s="25"/>
    </row>
    <row r="19" spans="1:9" ht="21" customHeight="1">
      <c r="A19" s="154">
        <v>21</v>
      </c>
      <c r="B19" s="58">
        <v>0</v>
      </c>
      <c r="C19" s="58" t="s">
        <v>209</v>
      </c>
      <c r="D19" s="58" t="s">
        <v>209</v>
      </c>
      <c r="E19" s="58" t="s">
        <v>209</v>
      </c>
      <c r="F19" s="58" t="s">
        <v>209</v>
      </c>
      <c r="G19" s="58" t="s">
        <v>209</v>
      </c>
      <c r="H19" s="59" t="s">
        <v>209</v>
      </c>
      <c r="I19" s="25"/>
    </row>
    <row r="20" spans="1:9" ht="21" customHeight="1">
      <c r="A20" s="307">
        <v>22</v>
      </c>
      <c r="B20" s="308">
        <f>SUM(C20:H20)</f>
        <v>0</v>
      </c>
      <c r="C20" s="308">
        <v>0</v>
      </c>
      <c r="D20" s="308" t="s">
        <v>209</v>
      </c>
      <c r="E20" s="308">
        <v>0</v>
      </c>
      <c r="F20" s="308">
        <v>0</v>
      </c>
      <c r="G20" s="308" t="s">
        <v>209</v>
      </c>
      <c r="H20" s="309" t="s">
        <v>209</v>
      </c>
      <c r="I20" s="25"/>
    </row>
    <row r="21" spans="1:9" ht="21" customHeight="1" thickBot="1">
      <c r="A21" s="248">
        <v>23</v>
      </c>
      <c r="B21" s="464">
        <f>SUM(C21:H21)</f>
        <v>0</v>
      </c>
      <c r="C21" s="396">
        <v>0</v>
      </c>
      <c r="D21" s="396">
        <v>0</v>
      </c>
      <c r="E21" s="396">
        <v>0</v>
      </c>
      <c r="F21" s="396">
        <v>0</v>
      </c>
      <c r="G21" s="396">
        <v>0</v>
      </c>
      <c r="H21" s="403">
        <v>0</v>
      </c>
      <c r="I21" s="247"/>
    </row>
    <row r="22" spans="1:9" ht="15" customHeight="1">
      <c r="A22" s="20"/>
      <c r="B22" s="24"/>
      <c r="C22" s="24"/>
      <c r="D22" s="24"/>
      <c r="E22" s="24"/>
      <c r="F22" s="24"/>
      <c r="G22" s="24"/>
      <c r="H22" s="315" t="s">
        <v>201</v>
      </c>
      <c r="I22" s="3"/>
    </row>
    <row r="23" ht="21" customHeight="1"/>
    <row r="24" spans="1:8" ht="21" customHeight="1">
      <c r="A24" s="10" t="s">
        <v>265</v>
      </c>
      <c r="B24" s="10"/>
      <c r="C24" s="10"/>
      <c r="D24" s="10"/>
      <c r="E24" s="10"/>
      <c r="F24" s="10"/>
      <c r="G24" s="10"/>
      <c r="H24" s="10"/>
    </row>
    <row r="25" spans="1:11" s="10" customFormat="1" ht="21" customHeight="1" thickBot="1">
      <c r="A25" s="2"/>
      <c r="B25" s="2"/>
      <c r="C25" s="2"/>
      <c r="D25" s="2"/>
      <c r="E25" s="13" t="s">
        <v>299</v>
      </c>
      <c r="F25" s="1"/>
      <c r="J25" s="1"/>
      <c r="K25" s="1"/>
    </row>
    <row r="26" spans="1:10" ht="21" customHeight="1">
      <c r="A26" s="517" t="s">
        <v>188</v>
      </c>
      <c r="B26" s="597"/>
      <c r="C26" s="597"/>
      <c r="D26" s="598"/>
      <c r="E26" s="161" t="s">
        <v>30</v>
      </c>
      <c r="J26" s="275"/>
    </row>
    <row r="27" spans="1:5" ht="21" customHeight="1">
      <c r="A27" s="599" t="s">
        <v>189</v>
      </c>
      <c r="B27" s="593"/>
      <c r="C27" s="593"/>
      <c r="D27" s="594"/>
      <c r="E27" s="440">
        <f>SUM(E29:E30)</f>
        <v>4943993</v>
      </c>
    </row>
    <row r="28" spans="1:5" ht="21" customHeight="1">
      <c r="A28" s="593"/>
      <c r="B28" s="593"/>
      <c r="C28" s="593"/>
      <c r="D28" s="594"/>
      <c r="E28" s="43"/>
    </row>
    <row r="29" spans="1:5" ht="21" customHeight="1">
      <c r="A29" s="593" t="s">
        <v>15</v>
      </c>
      <c r="B29" s="593"/>
      <c r="C29" s="593"/>
      <c r="D29" s="594"/>
      <c r="E29" s="404">
        <v>3458168</v>
      </c>
    </row>
    <row r="30" spans="1:5" ht="21" customHeight="1" thickBot="1">
      <c r="A30" s="595" t="s">
        <v>190</v>
      </c>
      <c r="B30" s="595"/>
      <c r="C30" s="595"/>
      <c r="D30" s="596"/>
      <c r="E30" s="405">
        <v>1485825</v>
      </c>
    </row>
    <row r="31" ht="15" customHeight="1">
      <c r="E31" s="35" t="s">
        <v>201</v>
      </c>
    </row>
    <row r="32" ht="21" customHeight="1"/>
    <row r="33" spans="1:8" ht="21" customHeight="1">
      <c r="A33" s="274" t="s">
        <v>297</v>
      </c>
      <c r="B33" s="274"/>
      <c r="C33" s="274"/>
      <c r="D33" s="274"/>
      <c r="E33" s="274"/>
      <c r="F33" s="10"/>
      <c r="G33" s="10"/>
      <c r="H33" s="10"/>
    </row>
    <row r="34" spans="1:8" s="10" customFormat="1" ht="21" customHeight="1" thickBot="1">
      <c r="A34" s="51"/>
      <c r="B34" s="51"/>
      <c r="C34" s="51"/>
      <c r="D34" s="51"/>
      <c r="E34" s="102" t="s">
        <v>299</v>
      </c>
      <c r="F34" s="1"/>
      <c r="G34" s="1"/>
      <c r="H34" s="1"/>
    </row>
    <row r="35" spans="1:5" ht="21" customHeight="1">
      <c r="A35" s="591" t="s">
        <v>11</v>
      </c>
      <c r="B35" s="273" t="s">
        <v>21</v>
      </c>
      <c r="C35" s="272" t="s">
        <v>270</v>
      </c>
      <c r="D35" s="273" t="s">
        <v>22</v>
      </c>
      <c r="E35" s="272" t="s">
        <v>23</v>
      </c>
    </row>
    <row r="36" spans="1:5" ht="21" customHeight="1">
      <c r="A36" s="592"/>
      <c r="B36" s="271" t="s">
        <v>296</v>
      </c>
      <c r="C36" s="270" t="s">
        <v>296</v>
      </c>
      <c r="D36" s="271" t="s">
        <v>296</v>
      </c>
      <c r="E36" s="270" t="s">
        <v>296</v>
      </c>
    </row>
    <row r="37" spans="1:6" ht="21" customHeight="1">
      <c r="A37" s="265" t="s">
        <v>30</v>
      </c>
      <c r="B37" s="462">
        <f>SUM(B39:B46)</f>
        <v>32073</v>
      </c>
      <c r="C37" s="462">
        <f>SUM(C39:C46)</f>
        <v>1889</v>
      </c>
      <c r="D37" s="462">
        <f>SUM(D39:D46)</f>
        <v>108</v>
      </c>
      <c r="E37" s="463">
        <f>SUM(E39:E46)</f>
        <v>0</v>
      </c>
      <c r="F37" s="3"/>
    </row>
    <row r="38" spans="1:7" ht="21" customHeight="1">
      <c r="A38" s="265"/>
      <c r="B38" s="268"/>
      <c r="C38" s="269"/>
      <c r="D38" s="268"/>
      <c r="E38" s="267"/>
      <c r="G38" s="33"/>
    </row>
    <row r="39" spans="1:7" ht="21" customHeight="1">
      <c r="A39" s="265" t="s">
        <v>81</v>
      </c>
      <c r="B39" s="406">
        <v>16840</v>
      </c>
      <c r="C39" s="407">
        <v>1889</v>
      </c>
      <c r="D39" s="406">
        <v>0</v>
      </c>
      <c r="E39" s="407">
        <v>0</v>
      </c>
      <c r="G39" s="34"/>
    </row>
    <row r="40" spans="1:5" ht="21" customHeight="1">
      <c r="A40" s="265" t="s">
        <v>82</v>
      </c>
      <c r="B40" s="408">
        <v>0</v>
      </c>
      <c r="C40" s="407">
        <v>0</v>
      </c>
      <c r="D40" s="408">
        <v>0</v>
      </c>
      <c r="E40" s="407">
        <v>0</v>
      </c>
    </row>
    <row r="41" spans="1:5" ht="21" customHeight="1">
      <c r="A41" s="265" t="s">
        <v>83</v>
      </c>
      <c r="B41" s="408">
        <v>0</v>
      </c>
      <c r="C41" s="407">
        <v>0</v>
      </c>
      <c r="D41" s="408">
        <v>0</v>
      </c>
      <c r="E41" s="407">
        <v>0</v>
      </c>
    </row>
    <row r="42" spans="1:5" ht="21" customHeight="1">
      <c r="A42" s="265" t="s">
        <v>84</v>
      </c>
      <c r="B42" s="406">
        <v>2376</v>
      </c>
      <c r="C42" s="407">
        <v>0</v>
      </c>
      <c r="D42" s="406">
        <v>0</v>
      </c>
      <c r="E42" s="407">
        <v>0</v>
      </c>
    </row>
    <row r="43" spans="1:5" ht="21" customHeight="1">
      <c r="A43" s="265" t="s">
        <v>78</v>
      </c>
      <c r="B43" s="406">
        <v>200</v>
      </c>
      <c r="C43" s="407">
        <v>0</v>
      </c>
      <c r="D43" s="408">
        <v>0</v>
      </c>
      <c r="E43" s="407">
        <v>0</v>
      </c>
    </row>
    <row r="44" spans="1:5" ht="21" customHeight="1">
      <c r="A44" s="265" t="s">
        <v>85</v>
      </c>
      <c r="B44" s="408">
        <v>388</v>
      </c>
      <c r="C44" s="407">
        <v>0</v>
      </c>
      <c r="D44" s="408">
        <v>0</v>
      </c>
      <c r="E44" s="407">
        <v>0</v>
      </c>
    </row>
    <row r="45" spans="1:5" ht="21" customHeight="1">
      <c r="A45" s="265" t="s">
        <v>89</v>
      </c>
      <c r="B45" s="406">
        <v>11963</v>
      </c>
      <c r="C45" s="409">
        <v>0</v>
      </c>
      <c r="D45" s="406">
        <v>108</v>
      </c>
      <c r="E45" s="407">
        <v>0</v>
      </c>
    </row>
    <row r="46" spans="1:5" ht="21" customHeight="1" thickBot="1">
      <c r="A46" s="266" t="s">
        <v>90</v>
      </c>
      <c r="B46" s="410">
        <v>306</v>
      </c>
      <c r="C46" s="411">
        <v>0</v>
      </c>
      <c r="D46" s="412">
        <v>0</v>
      </c>
      <c r="E46" s="411">
        <v>0</v>
      </c>
    </row>
    <row r="47" ht="13.5">
      <c r="E47" s="159" t="s">
        <v>271</v>
      </c>
    </row>
  </sheetData>
  <sheetProtection/>
  <mergeCells count="6">
    <mergeCell ref="A35:A36"/>
    <mergeCell ref="A29:D29"/>
    <mergeCell ref="A30:D30"/>
    <mergeCell ref="A26:D26"/>
    <mergeCell ref="A27:D27"/>
    <mergeCell ref="A28:D28"/>
  </mergeCells>
  <printOptions/>
  <pageMargins left="0.75" right="0.75" top="1" bottom="1" header="0.512" footer="0.512"/>
  <pageSetup firstPageNumber="239" useFirstPageNumber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1">
      <pane ySplit="5" topLeftCell="A39" activePane="bottomLeft" state="frozen"/>
      <selection pane="topLeft" activeCell="M6" sqref="M6"/>
      <selection pane="bottomLeft" activeCell="B52" sqref="B52:D52"/>
    </sheetView>
  </sheetViews>
  <sheetFormatPr defaultColWidth="9.00390625" defaultRowHeight="13.5"/>
  <cols>
    <col min="1" max="1" width="13.125" style="1" customWidth="1"/>
    <col min="2" max="9" width="10.75390625" style="1" customWidth="1"/>
    <col min="10" max="16384" width="9.00390625" style="1" customWidth="1"/>
  </cols>
  <sheetData>
    <row r="1" s="10" customFormat="1" ht="14.25">
      <c r="A1" s="10" t="s">
        <v>208</v>
      </c>
    </row>
    <row r="2" spans="1:9" ht="14.25" thickBot="1">
      <c r="A2" s="2"/>
      <c r="B2" s="2"/>
      <c r="C2" s="2"/>
      <c r="D2" s="2"/>
      <c r="E2" s="2"/>
      <c r="F2" s="2"/>
      <c r="G2" s="2"/>
      <c r="H2" s="13"/>
      <c r="I2" s="13" t="s">
        <v>299</v>
      </c>
    </row>
    <row r="3" spans="1:10" ht="13.5">
      <c r="A3" s="600" t="s">
        <v>11</v>
      </c>
      <c r="B3" s="546" t="s">
        <v>266</v>
      </c>
      <c r="C3" s="546" t="s">
        <v>191</v>
      </c>
      <c r="D3" s="546" t="s">
        <v>200</v>
      </c>
      <c r="E3" s="546" t="s">
        <v>192</v>
      </c>
      <c r="F3" s="546" t="s">
        <v>193</v>
      </c>
      <c r="G3" s="546" t="s">
        <v>205</v>
      </c>
      <c r="H3" s="546" t="s">
        <v>194</v>
      </c>
      <c r="I3" s="544" t="s">
        <v>199</v>
      </c>
      <c r="J3" s="3"/>
    </row>
    <row r="4" spans="1:10" ht="13.5">
      <c r="A4" s="601"/>
      <c r="B4" s="603"/>
      <c r="C4" s="603"/>
      <c r="D4" s="603"/>
      <c r="E4" s="603"/>
      <c r="F4" s="603"/>
      <c r="G4" s="603"/>
      <c r="H4" s="603"/>
      <c r="I4" s="604"/>
      <c r="J4" s="3"/>
    </row>
    <row r="5" spans="1:10" ht="13.5">
      <c r="A5" s="602"/>
      <c r="B5" s="547"/>
      <c r="C5" s="547"/>
      <c r="D5" s="547"/>
      <c r="E5" s="547"/>
      <c r="F5" s="547"/>
      <c r="G5" s="547"/>
      <c r="H5" s="547"/>
      <c r="I5" s="545"/>
      <c r="J5" s="3"/>
    </row>
    <row r="6" spans="1:10" ht="16.5" customHeight="1">
      <c r="A6" s="148" t="s">
        <v>267</v>
      </c>
      <c r="B6" s="68">
        <v>75845</v>
      </c>
      <c r="C6" s="69">
        <v>77702</v>
      </c>
      <c r="D6" s="68">
        <v>75380</v>
      </c>
      <c r="E6" s="69">
        <v>5835</v>
      </c>
      <c r="F6" s="68">
        <v>349</v>
      </c>
      <c r="G6" s="69">
        <v>2154</v>
      </c>
      <c r="H6" s="68">
        <v>198</v>
      </c>
      <c r="I6" s="153">
        <f aca="true" t="shared" si="0" ref="I6:I12">H6*1000/B6</f>
        <v>2.610587382160986</v>
      </c>
      <c r="J6" s="3"/>
    </row>
    <row r="7" spans="1:10" ht="16.5" customHeight="1">
      <c r="A7" s="154">
        <v>8</v>
      </c>
      <c r="B7" s="68">
        <v>86664</v>
      </c>
      <c r="C7" s="69">
        <v>16038</v>
      </c>
      <c r="D7" s="68">
        <v>75897</v>
      </c>
      <c r="E7" s="69">
        <v>5566</v>
      </c>
      <c r="F7" s="68">
        <v>309</v>
      </c>
      <c r="G7" s="69">
        <v>2309</v>
      </c>
      <c r="H7" s="68">
        <v>195</v>
      </c>
      <c r="I7" s="153">
        <f t="shared" si="0"/>
        <v>2.250069232899474</v>
      </c>
      <c r="J7" s="3"/>
    </row>
    <row r="8" spans="1:10" ht="16.5" customHeight="1">
      <c r="A8" s="154">
        <v>9</v>
      </c>
      <c r="B8" s="68">
        <v>94033</v>
      </c>
      <c r="C8" s="69">
        <v>13642</v>
      </c>
      <c r="D8" s="68">
        <v>79123</v>
      </c>
      <c r="E8" s="69">
        <v>5382</v>
      </c>
      <c r="F8" s="68">
        <v>345</v>
      </c>
      <c r="G8" s="69">
        <v>1934</v>
      </c>
      <c r="H8" s="68">
        <v>188</v>
      </c>
      <c r="I8" s="153">
        <f t="shared" si="0"/>
        <v>1.9992981187455467</v>
      </c>
      <c r="J8" s="3"/>
    </row>
    <row r="9" spans="1:10" ht="16.5" customHeight="1">
      <c r="A9" s="154">
        <v>10</v>
      </c>
      <c r="B9" s="68">
        <v>99787</v>
      </c>
      <c r="C9" s="69">
        <v>12987</v>
      </c>
      <c r="D9" s="68">
        <v>81914</v>
      </c>
      <c r="E9" s="69">
        <v>4858</v>
      </c>
      <c r="F9" s="68">
        <v>331</v>
      </c>
      <c r="G9" s="69">
        <v>1621</v>
      </c>
      <c r="H9" s="68">
        <v>200</v>
      </c>
      <c r="I9" s="153">
        <f t="shared" si="0"/>
        <v>2.004269093168449</v>
      </c>
      <c r="J9" s="3"/>
    </row>
    <row r="10" spans="1:10" ht="16.5" customHeight="1">
      <c r="A10" s="154">
        <v>11</v>
      </c>
      <c r="B10" s="68">
        <v>105369</v>
      </c>
      <c r="C10" s="69">
        <v>12923</v>
      </c>
      <c r="D10" s="68">
        <v>84163</v>
      </c>
      <c r="E10" s="69">
        <v>4087</v>
      </c>
      <c r="F10" s="68">
        <v>332</v>
      </c>
      <c r="G10" s="69">
        <v>1620</v>
      </c>
      <c r="H10" s="68">
        <v>177</v>
      </c>
      <c r="I10" s="153">
        <f t="shared" si="0"/>
        <v>1.6798109500896847</v>
      </c>
      <c r="J10" s="3"/>
    </row>
    <row r="11" spans="1:10" ht="16.5" customHeight="1">
      <c r="A11" s="154">
        <v>12</v>
      </c>
      <c r="B11" s="68">
        <v>108659</v>
      </c>
      <c r="C11" s="69">
        <v>11725</v>
      </c>
      <c r="D11" s="68">
        <v>86241</v>
      </c>
      <c r="E11" s="69">
        <v>3716</v>
      </c>
      <c r="F11" s="68">
        <v>358</v>
      </c>
      <c r="G11" s="69">
        <v>1487</v>
      </c>
      <c r="H11" s="68">
        <v>222</v>
      </c>
      <c r="I11" s="153">
        <f t="shared" si="0"/>
        <v>2.0430889295870567</v>
      </c>
      <c r="J11" s="3"/>
    </row>
    <row r="12" spans="1:10" ht="16.5" customHeight="1">
      <c r="A12" s="154">
        <v>13</v>
      </c>
      <c r="B12" s="68">
        <v>111802</v>
      </c>
      <c r="C12" s="69">
        <v>11282</v>
      </c>
      <c r="D12" s="68">
        <v>86671</v>
      </c>
      <c r="E12" s="69">
        <v>3583</v>
      </c>
      <c r="F12" s="68">
        <v>368</v>
      </c>
      <c r="G12" s="69">
        <v>1865</v>
      </c>
      <c r="H12" s="68">
        <v>199</v>
      </c>
      <c r="I12" s="153">
        <f t="shared" si="0"/>
        <v>1.7799323804583103</v>
      </c>
      <c r="J12" s="3"/>
    </row>
    <row r="13" spans="1:10" ht="16.5" customHeight="1">
      <c r="A13" s="154">
        <v>14</v>
      </c>
      <c r="B13" s="68">
        <v>113701</v>
      </c>
      <c r="C13" s="68">
        <v>11322</v>
      </c>
      <c r="D13" s="68">
        <v>88441</v>
      </c>
      <c r="E13" s="68">
        <v>3142</v>
      </c>
      <c r="F13" s="68">
        <v>290</v>
      </c>
      <c r="G13" s="68">
        <v>1383</v>
      </c>
      <c r="H13" s="68">
        <v>153</v>
      </c>
      <c r="I13" s="153">
        <f aca="true" t="shared" si="1" ref="I13:I19">H13*1000/B13</f>
        <v>1.3456346030377921</v>
      </c>
      <c r="J13" s="3"/>
    </row>
    <row r="14" spans="1:10" ht="16.5" customHeight="1">
      <c r="A14" s="154">
        <v>15</v>
      </c>
      <c r="B14" s="68">
        <v>114905</v>
      </c>
      <c r="C14" s="68">
        <v>10936</v>
      </c>
      <c r="D14" s="68">
        <v>89288</v>
      </c>
      <c r="E14" s="68">
        <v>2867</v>
      </c>
      <c r="F14" s="68">
        <v>365</v>
      </c>
      <c r="G14" s="68">
        <v>1220</v>
      </c>
      <c r="H14" s="68">
        <v>173</v>
      </c>
      <c r="I14" s="153">
        <f t="shared" si="1"/>
        <v>1.5055915756494496</v>
      </c>
      <c r="J14" s="3"/>
    </row>
    <row r="15" spans="1:10" ht="16.5" customHeight="1">
      <c r="A15" s="154">
        <v>16</v>
      </c>
      <c r="B15" s="68">
        <v>115525</v>
      </c>
      <c r="C15" s="69">
        <v>10605</v>
      </c>
      <c r="D15" s="68">
        <v>89996</v>
      </c>
      <c r="E15" s="69">
        <v>2691</v>
      </c>
      <c r="F15" s="68">
        <v>340</v>
      </c>
      <c r="G15" s="69">
        <v>1049</v>
      </c>
      <c r="H15" s="68">
        <v>174</v>
      </c>
      <c r="I15" s="153">
        <f t="shared" si="1"/>
        <v>1.506167496212941</v>
      </c>
      <c r="J15" s="3"/>
    </row>
    <row r="16" spans="1:10" ht="16.5" customHeight="1">
      <c r="A16" s="154">
        <v>17</v>
      </c>
      <c r="B16" s="68">
        <v>117074</v>
      </c>
      <c r="C16" s="69">
        <v>10350</v>
      </c>
      <c r="D16" s="68">
        <v>90793</v>
      </c>
      <c r="E16" s="69">
        <v>2346</v>
      </c>
      <c r="F16" s="68">
        <v>375</v>
      </c>
      <c r="G16" s="69">
        <v>1087</v>
      </c>
      <c r="H16" s="68">
        <v>167</v>
      </c>
      <c r="I16" s="153">
        <f t="shared" si="1"/>
        <v>1.4264482293250422</v>
      </c>
      <c r="J16" s="3"/>
    </row>
    <row r="17" spans="1:10" ht="16.5" customHeight="1">
      <c r="A17" s="154">
        <v>18</v>
      </c>
      <c r="B17" s="68">
        <v>117649</v>
      </c>
      <c r="C17" s="69">
        <v>10083</v>
      </c>
      <c r="D17" s="68">
        <v>90911</v>
      </c>
      <c r="E17" s="69">
        <v>2229</v>
      </c>
      <c r="F17" s="68">
        <v>405</v>
      </c>
      <c r="G17" s="69">
        <v>944</v>
      </c>
      <c r="H17" s="68">
        <v>138</v>
      </c>
      <c r="I17" s="153">
        <f t="shared" si="1"/>
        <v>1.172980645819344</v>
      </c>
      <c r="J17" s="3"/>
    </row>
    <row r="18" spans="1:10" ht="16.5" customHeight="1">
      <c r="A18" s="154">
        <v>19</v>
      </c>
      <c r="B18" s="68">
        <v>119025</v>
      </c>
      <c r="C18" s="69">
        <v>10982</v>
      </c>
      <c r="D18" s="68">
        <v>93365</v>
      </c>
      <c r="E18" s="69">
        <v>2049</v>
      </c>
      <c r="F18" s="68">
        <v>360</v>
      </c>
      <c r="G18" s="69">
        <v>829</v>
      </c>
      <c r="H18" s="68">
        <v>143</v>
      </c>
      <c r="I18" s="153">
        <f t="shared" si="1"/>
        <v>1.2014282713715605</v>
      </c>
      <c r="J18" s="3"/>
    </row>
    <row r="19" spans="1:10" ht="16.5" customHeight="1">
      <c r="A19" s="154">
        <v>20</v>
      </c>
      <c r="B19" s="68">
        <v>119008</v>
      </c>
      <c r="C19" s="69">
        <v>9636</v>
      </c>
      <c r="D19" s="68">
        <v>91552</v>
      </c>
      <c r="E19" s="69">
        <v>1586</v>
      </c>
      <c r="F19" s="68">
        <v>409</v>
      </c>
      <c r="G19" s="69">
        <v>880</v>
      </c>
      <c r="H19" s="68">
        <v>132</v>
      </c>
      <c r="I19" s="153">
        <f t="shared" si="1"/>
        <v>1.109169131486959</v>
      </c>
      <c r="J19" s="3"/>
    </row>
    <row r="20" spans="1:10" ht="16.5" customHeight="1">
      <c r="A20" s="154">
        <v>21</v>
      </c>
      <c r="B20" s="68">
        <v>118072</v>
      </c>
      <c r="C20" s="69">
        <v>9713</v>
      </c>
      <c r="D20" s="68">
        <v>92898</v>
      </c>
      <c r="E20" s="69">
        <v>1342</v>
      </c>
      <c r="F20" s="68">
        <v>382</v>
      </c>
      <c r="G20" s="69">
        <v>860</v>
      </c>
      <c r="H20" s="68">
        <v>125</v>
      </c>
      <c r="I20" s="153">
        <f>H20*1000/B20</f>
        <v>1.0586760620638254</v>
      </c>
      <c r="J20" s="3"/>
    </row>
    <row r="21" spans="1:10" ht="16.5" customHeight="1">
      <c r="A21" s="154">
        <v>22</v>
      </c>
      <c r="B21" s="68">
        <v>116780</v>
      </c>
      <c r="C21" s="69">
        <v>9184</v>
      </c>
      <c r="D21" s="68">
        <v>92465</v>
      </c>
      <c r="E21" s="69">
        <v>1398</v>
      </c>
      <c r="F21" s="68">
        <v>499</v>
      </c>
      <c r="G21" s="69">
        <v>716</v>
      </c>
      <c r="H21" s="68">
        <v>117</v>
      </c>
      <c r="I21" s="153">
        <f>H21*1000/B21</f>
        <v>1.0018838842267512</v>
      </c>
      <c r="J21" s="3"/>
    </row>
    <row r="22" spans="1:10" ht="16.5" customHeight="1">
      <c r="A22" s="154">
        <v>23</v>
      </c>
      <c r="B22" s="447">
        <f>SUM(B24:B31)</f>
        <v>114306</v>
      </c>
      <c r="C22" s="465">
        <f aca="true" t="shared" si="2" ref="C22:H22">SUM(C24:C31)</f>
        <v>8113</v>
      </c>
      <c r="D22" s="447">
        <f t="shared" si="2"/>
        <v>77911</v>
      </c>
      <c r="E22" s="465">
        <f t="shared" si="2"/>
        <v>1295</v>
      </c>
      <c r="F22" s="447">
        <f t="shared" si="2"/>
        <v>519</v>
      </c>
      <c r="G22" s="465">
        <f t="shared" si="2"/>
        <v>630</v>
      </c>
      <c r="H22" s="447">
        <f t="shared" si="2"/>
        <v>130</v>
      </c>
      <c r="I22" s="466">
        <f>H22*1000/B22</f>
        <v>1.1372981295819993</v>
      </c>
      <c r="J22" s="3"/>
    </row>
    <row r="23" spans="1:10" ht="16.5" customHeight="1">
      <c r="A23" s="148"/>
      <c r="B23" s="68"/>
      <c r="C23" s="69"/>
      <c r="D23" s="68"/>
      <c r="E23" s="69"/>
      <c r="F23" s="68"/>
      <c r="G23" s="69"/>
      <c r="H23" s="68"/>
      <c r="I23" s="153"/>
      <c r="J23" s="3"/>
    </row>
    <row r="24" spans="1:10" ht="16.5" customHeight="1">
      <c r="A24" s="148" t="s">
        <v>81</v>
      </c>
      <c r="B24" s="375">
        <v>27678</v>
      </c>
      <c r="C24" s="378">
        <v>1906</v>
      </c>
      <c r="D24" s="375">
        <v>22166</v>
      </c>
      <c r="E24" s="378">
        <v>199</v>
      </c>
      <c r="F24" s="375">
        <v>63</v>
      </c>
      <c r="G24" s="378">
        <v>114</v>
      </c>
      <c r="H24" s="375">
        <v>24</v>
      </c>
      <c r="I24" s="466">
        <f>H24/B24*1000</f>
        <v>0.8671146759158899</v>
      </c>
      <c r="J24" s="160"/>
    </row>
    <row r="25" spans="1:10" ht="16.5" customHeight="1">
      <c r="A25" s="148" t="s">
        <v>82</v>
      </c>
      <c r="B25" s="375">
        <v>14295</v>
      </c>
      <c r="C25" s="378">
        <v>1003</v>
      </c>
      <c r="D25" s="375">
        <v>9361</v>
      </c>
      <c r="E25" s="378">
        <v>224</v>
      </c>
      <c r="F25" s="375">
        <v>56</v>
      </c>
      <c r="G25" s="378">
        <v>174</v>
      </c>
      <c r="H25" s="375">
        <v>10</v>
      </c>
      <c r="I25" s="466">
        <f aca="true" t="shared" si="3" ref="I25:I31">H25/B25*1000</f>
        <v>0.6995452955578874</v>
      </c>
      <c r="J25" s="160"/>
    </row>
    <row r="26" spans="1:10" ht="16.5" customHeight="1">
      <c r="A26" s="148" t="s">
        <v>83</v>
      </c>
      <c r="B26" s="375">
        <v>10836</v>
      </c>
      <c r="C26" s="378">
        <v>769</v>
      </c>
      <c r="D26" s="375">
        <v>7708</v>
      </c>
      <c r="E26" s="378">
        <v>116</v>
      </c>
      <c r="F26" s="375">
        <v>39</v>
      </c>
      <c r="G26" s="378">
        <v>76</v>
      </c>
      <c r="H26" s="375">
        <v>3</v>
      </c>
      <c r="I26" s="466">
        <f t="shared" si="3"/>
        <v>0.2768549280177187</v>
      </c>
      <c r="J26" s="160"/>
    </row>
    <row r="27" spans="1:10" ht="16.5" customHeight="1">
      <c r="A27" s="148" t="s">
        <v>84</v>
      </c>
      <c r="B27" s="375">
        <v>10816</v>
      </c>
      <c r="C27" s="378">
        <v>732</v>
      </c>
      <c r="D27" s="375">
        <v>7728</v>
      </c>
      <c r="E27" s="378">
        <v>82</v>
      </c>
      <c r="F27" s="375">
        <v>44</v>
      </c>
      <c r="G27" s="378">
        <v>30</v>
      </c>
      <c r="H27" s="375">
        <v>11</v>
      </c>
      <c r="I27" s="466">
        <f t="shared" si="3"/>
        <v>1.0170118343195267</v>
      </c>
      <c r="J27" s="160"/>
    </row>
    <row r="28" spans="1:10" ht="16.5" customHeight="1">
      <c r="A28" s="148" t="s">
        <v>78</v>
      </c>
      <c r="B28" s="375">
        <v>1462</v>
      </c>
      <c r="C28" s="378">
        <v>88</v>
      </c>
      <c r="D28" s="375">
        <v>1267</v>
      </c>
      <c r="E28" s="378">
        <v>0</v>
      </c>
      <c r="F28" s="375">
        <v>0</v>
      </c>
      <c r="G28" s="378">
        <v>3</v>
      </c>
      <c r="H28" s="375">
        <v>1</v>
      </c>
      <c r="I28" s="466">
        <f t="shared" si="3"/>
        <v>0.6839945280437756</v>
      </c>
      <c r="J28" s="160"/>
    </row>
    <row r="29" spans="1:10" ht="16.5" customHeight="1">
      <c r="A29" s="148" t="s">
        <v>85</v>
      </c>
      <c r="B29" s="375">
        <v>13549</v>
      </c>
      <c r="C29" s="378">
        <v>670</v>
      </c>
      <c r="D29" s="375">
        <v>4204</v>
      </c>
      <c r="E29" s="378">
        <v>118</v>
      </c>
      <c r="F29" s="375">
        <v>15</v>
      </c>
      <c r="G29" s="378">
        <v>86</v>
      </c>
      <c r="H29" s="375">
        <v>16</v>
      </c>
      <c r="I29" s="466">
        <f t="shared" si="3"/>
        <v>1.180898959332792</v>
      </c>
      <c r="J29" s="160"/>
    </row>
    <row r="30" spans="1:10" ht="16.5" customHeight="1">
      <c r="A30" s="148" t="s">
        <v>89</v>
      </c>
      <c r="B30" s="375">
        <v>17089</v>
      </c>
      <c r="C30" s="378">
        <v>1627</v>
      </c>
      <c r="D30" s="375">
        <v>13684</v>
      </c>
      <c r="E30" s="378">
        <v>271</v>
      </c>
      <c r="F30" s="375">
        <v>183</v>
      </c>
      <c r="G30" s="378">
        <v>110</v>
      </c>
      <c r="H30" s="375">
        <v>35</v>
      </c>
      <c r="I30" s="466">
        <f t="shared" si="3"/>
        <v>2.0481011176780384</v>
      </c>
      <c r="J30" s="160"/>
    </row>
    <row r="31" spans="1:10" ht="16.5" customHeight="1" thickBot="1">
      <c r="A31" s="41" t="s">
        <v>90</v>
      </c>
      <c r="B31" s="414">
        <v>18581</v>
      </c>
      <c r="C31" s="415">
        <v>1318</v>
      </c>
      <c r="D31" s="414">
        <v>11793</v>
      </c>
      <c r="E31" s="415">
        <v>285</v>
      </c>
      <c r="F31" s="414">
        <v>119</v>
      </c>
      <c r="G31" s="415">
        <v>37</v>
      </c>
      <c r="H31" s="414">
        <v>30</v>
      </c>
      <c r="I31" s="467">
        <f t="shared" si="3"/>
        <v>1.614552499865454</v>
      </c>
      <c r="J31" s="160"/>
    </row>
    <row r="32" spans="1:9" ht="15" customHeight="1">
      <c r="A32" s="3"/>
      <c r="D32" s="16"/>
      <c r="E32" s="16"/>
      <c r="F32" s="16"/>
      <c r="G32" s="16"/>
      <c r="I32" s="35" t="s">
        <v>201</v>
      </c>
    </row>
    <row r="33" spans="1:9" ht="9" customHeight="1">
      <c r="A33" s="3"/>
      <c r="I33" s="35"/>
    </row>
    <row r="34" spans="1:9" ht="14.25">
      <c r="A34" s="29" t="s">
        <v>268</v>
      </c>
      <c r="B34" s="29"/>
      <c r="C34" s="29"/>
      <c r="D34" s="29"/>
      <c r="E34" s="29"/>
      <c r="F34" s="29"/>
      <c r="G34" s="29"/>
      <c r="H34" s="36"/>
      <c r="I34" s="10"/>
    </row>
    <row r="35" spans="1:9" s="10" customFormat="1" ht="15" thickBot="1">
      <c r="A35" s="2" t="s">
        <v>195</v>
      </c>
      <c r="B35" s="2"/>
      <c r="C35" s="2"/>
      <c r="D35" s="13" t="s">
        <v>299</v>
      </c>
      <c r="E35" s="3"/>
      <c r="F35" s="3"/>
      <c r="G35" s="1"/>
      <c r="H35" s="1"/>
      <c r="I35" s="1"/>
    </row>
    <row r="36" spans="1:6" ht="27.75" thickBot="1">
      <c r="A36" s="155" t="s">
        <v>11</v>
      </c>
      <c r="B36" s="151" t="s">
        <v>196</v>
      </c>
      <c r="C36" s="152" t="s">
        <v>197</v>
      </c>
      <c r="D36" s="157" t="s">
        <v>198</v>
      </c>
      <c r="E36" s="3"/>
      <c r="F36" s="26"/>
    </row>
    <row r="37" spans="1:6" ht="13.5">
      <c r="A37" s="148" t="s">
        <v>30</v>
      </c>
      <c r="B37" s="456">
        <f>SUM(B39:B46)</f>
        <v>269</v>
      </c>
      <c r="C37" s="456">
        <f>SUM(C39:C46)</f>
        <v>154</v>
      </c>
      <c r="D37" s="457">
        <f>SUM(D39:D46)</f>
        <v>31</v>
      </c>
      <c r="E37" s="3"/>
      <c r="F37" s="275"/>
    </row>
    <row r="38" spans="1:6" ht="16.5" customHeight="1">
      <c r="A38" s="148"/>
      <c r="B38" s="136"/>
      <c r="C38" s="75"/>
      <c r="D38" s="74"/>
      <c r="E38" s="3"/>
      <c r="F38" s="100"/>
    </row>
    <row r="39" spans="1:6" ht="16.5" customHeight="1">
      <c r="A39" s="148" t="s">
        <v>81</v>
      </c>
      <c r="B39" s="413">
        <v>0</v>
      </c>
      <c r="C39" s="413">
        <v>0</v>
      </c>
      <c r="D39" s="413">
        <v>0</v>
      </c>
      <c r="E39" s="3"/>
      <c r="F39" s="100"/>
    </row>
    <row r="40" spans="1:6" ht="16.5" customHeight="1">
      <c r="A40" s="148" t="s">
        <v>82</v>
      </c>
      <c r="B40" s="413">
        <v>7</v>
      </c>
      <c r="C40" s="413">
        <v>7</v>
      </c>
      <c r="D40" s="413">
        <v>5</v>
      </c>
      <c r="E40" s="3"/>
      <c r="F40" s="275"/>
    </row>
    <row r="41" spans="1:6" ht="16.5" customHeight="1">
      <c r="A41" s="148" t="s">
        <v>83</v>
      </c>
      <c r="B41" s="413">
        <v>17</v>
      </c>
      <c r="C41" s="413">
        <v>12</v>
      </c>
      <c r="D41" s="413">
        <v>3</v>
      </c>
      <c r="E41" s="3"/>
      <c r="F41" s="3"/>
    </row>
    <row r="42" spans="1:6" ht="16.5" customHeight="1">
      <c r="A42" s="148" t="s">
        <v>84</v>
      </c>
      <c r="B42" s="413">
        <v>5</v>
      </c>
      <c r="C42" s="413">
        <v>5</v>
      </c>
      <c r="D42" s="413">
        <v>2</v>
      </c>
      <c r="E42" s="3"/>
      <c r="F42" s="3"/>
    </row>
    <row r="43" spans="1:6" ht="16.5" customHeight="1">
      <c r="A43" s="148" t="s">
        <v>88</v>
      </c>
      <c r="B43" s="413">
        <v>5</v>
      </c>
      <c r="C43" s="413">
        <v>5</v>
      </c>
      <c r="D43" s="413">
        <v>2</v>
      </c>
      <c r="E43" s="3"/>
      <c r="F43" s="3"/>
    </row>
    <row r="44" spans="1:6" ht="16.5" customHeight="1">
      <c r="A44" s="148" t="s">
        <v>85</v>
      </c>
      <c r="B44" s="413">
        <v>0</v>
      </c>
      <c r="C44" s="413">
        <v>0</v>
      </c>
      <c r="D44" s="413">
        <v>0</v>
      </c>
      <c r="E44" s="3"/>
      <c r="F44" s="3"/>
    </row>
    <row r="45" spans="1:6" ht="16.5" customHeight="1">
      <c r="A45" s="148" t="s">
        <v>89</v>
      </c>
      <c r="B45" s="413">
        <v>193</v>
      </c>
      <c r="C45" s="413">
        <v>82</v>
      </c>
      <c r="D45" s="413">
        <v>13</v>
      </c>
      <c r="E45" s="3"/>
      <c r="F45" s="3"/>
    </row>
    <row r="46" spans="1:6" ht="16.5" customHeight="1" thickBot="1">
      <c r="A46" s="41" t="s">
        <v>90</v>
      </c>
      <c r="B46" s="383">
        <v>42</v>
      </c>
      <c r="C46" s="383">
        <v>43</v>
      </c>
      <c r="D46" s="383">
        <v>6</v>
      </c>
      <c r="E46" s="3"/>
      <c r="F46" s="3"/>
    </row>
    <row r="47" spans="1:4" ht="15" customHeight="1">
      <c r="A47" s="3"/>
      <c r="D47" s="35" t="s">
        <v>201</v>
      </c>
    </row>
    <row r="48" spans="1:4" ht="16.5" customHeight="1">
      <c r="A48" s="3"/>
      <c r="D48" s="35"/>
    </row>
    <row r="49" spans="1:9" ht="14.25">
      <c r="A49" s="29" t="s">
        <v>269</v>
      </c>
      <c r="B49" s="10"/>
      <c r="C49" s="10"/>
      <c r="D49" s="28"/>
      <c r="E49" s="10"/>
      <c r="F49" s="10"/>
      <c r="G49" s="10"/>
      <c r="H49" s="10"/>
      <c r="I49" s="10"/>
    </row>
    <row r="50" spans="1:9" s="10" customFormat="1" ht="15" thickBot="1">
      <c r="A50" s="2" t="s">
        <v>195</v>
      </c>
      <c r="B50" s="2"/>
      <c r="C50" s="2"/>
      <c r="D50" s="27" t="s">
        <v>299</v>
      </c>
      <c r="E50" s="1"/>
      <c r="F50" s="1"/>
      <c r="G50" s="1"/>
      <c r="H50" s="1"/>
      <c r="I50" s="1"/>
    </row>
    <row r="51" spans="1:4" ht="27">
      <c r="A51" s="90" t="s">
        <v>11</v>
      </c>
      <c r="B51" s="89" t="s">
        <v>12</v>
      </c>
      <c r="C51" s="89" t="s">
        <v>13</v>
      </c>
      <c r="D51" s="156" t="s">
        <v>14</v>
      </c>
    </row>
    <row r="52" spans="1:4" ht="13.5">
      <c r="A52" s="148" t="s">
        <v>30</v>
      </c>
      <c r="B52" s="457">
        <f>SUM(B54:B61)</f>
        <v>31</v>
      </c>
      <c r="C52" s="457">
        <f>SUM(C54:C61)</f>
        <v>37</v>
      </c>
      <c r="D52" s="457">
        <f>SUM(D54:D61)</f>
        <v>1337</v>
      </c>
    </row>
    <row r="53" spans="1:4" ht="16.5" customHeight="1">
      <c r="A53" s="148"/>
      <c r="B53" s="74"/>
      <c r="C53" s="74"/>
      <c r="D53" s="74"/>
    </row>
    <row r="54" spans="1:4" ht="16.5" customHeight="1">
      <c r="A54" s="148" t="s">
        <v>81</v>
      </c>
      <c r="B54" s="413">
        <v>0</v>
      </c>
      <c r="C54" s="413">
        <v>0</v>
      </c>
      <c r="D54" s="413">
        <v>0</v>
      </c>
    </row>
    <row r="55" spans="1:4" ht="16.5" customHeight="1">
      <c r="A55" s="148" t="s">
        <v>82</v>
      </c>
      <c r="B55" s="413">
        <v>10</v>
      </c>
      <c r="C55" s="413">
        <v>11</v>
      </c>
      <c r="D55" s="413">
        <v>536</v>
      </c>
    </row>
    <row r="56" spans="1:4" ht="16.5" customHeight="1">
      <c r="A56" s="148" t="s">
        <v>83</v>
      </c>
      <c r="B56" s="413">
        <v>16</v>
      </c>
      <c r="C56" s="413">
        <v>16</v>
      </c>
      <c r="D56" s="413">
        <v>465</v>
      </c>
    </row>
    <row r="57" spans="1:4" ht="16.5" customHeight="1">
      <c r="A57" s="148" t="s">
        <v>84</v>
      </c>
      <c r="B57" s="413">
        <v>5</v>
      </c>
      <c r="C57" s="413">
        <v>10</v>
      </c>
      <c r="D57" s="413">
        <v>336</v>
      </c>
    </row>
    <row r="58" spans="1:4" ht="16.5" customHeight="1">
      <c r="A58" s="148" t="s">
        <v>88</v>
      </c>
      <c r="B58" s="386">
        <v>0</v>
      </c>
      <c r="C58" s="386">
        <v>0</v>
      </c>
      <c r="D58" s="386">
        <v>0</v>
      </c>
    </row>
    <row r="59" spans="1:4" ht="16.5" customHeight="1">
      <c r="A59" s="148" t="s">
        <v>85</v>
      </c>
      <c r="B59" s="413">
        <v>0</v>
      </c>
      <c r="C59" s="413">
        <v>0</v>
      </c>
      <c r="D59" s="413">
        <v>0</v>
      </c>
    </row>
    <row r="60" spans="1:4" ht="16.5" customHeight="1">
      <c r="A60" s="148" t="s">
        <v>89</v>
      </c>
      <c r="B60" s="386">
        <v>0</v>
      </c>
      <c r="C60" s="386">
        <v>0</v>
      </c>
      <c r="D60" s="386">
        <v>0</v>
      </c>
    </row>
    <row r="61" spans="1:4" ht="16.5" customHeight="1" thickBot="1">
      <c r="A61" s="41" t="s">
        <v>90</v>
      </c>
      <c r="B61" s="389">
        <v>0</v>
      </c>
      <c r="C61" s="389">
        <v>0</v>
      </c>
      <c r="D61" s="389">
        <v>0</v>
      </c>
    </row>
    <row r="62" spans="1:4" ht="15" customHeight="1">
      <c r="A62" s="3"/>
      <c r="D62" s="35" t="s">
        <v>201</v>
      </c>
    </row>
    <row r="63" ht="13.5">
      <c r="A63" s="3"/>
    </row>
    <row r="64" ht="13.5">
      <c r="A64" s="3"/>
    </row>
  </sheetData>
  <sheetProtection/>
  <mergeCells count="9">
    <mergeCell ref="A3:A5"/>
    <mergeCell ref="B3:B5"/>
    <mergeCell ref="C3:C5"/>
    <mergeCell ref="D3:D5"/>
    <mergeCell ref="I3:I5"/>
    <mergeCell ref="E3:E5"/>
    <mergeCell ref="F3:F5"/>
    <mergeCell ref="G3:G5"/>
    <mergeCell ref="H3:H5"/>
  </mergeCells>
  <printOptions/>
  <pageMargins left="0.7874015748031497" right="0.7874015748031497" top="0.86" bottom="0.47" header="0.5118110236220472" footer="0.4"/>
  <pageSetup firstPageNumber="240" useFirstPageNumber="1"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Zeros="0" view="pageBreakPreview" zoomScale="85" zoomScaleNormal="75" zoomScaleSheetLayoutView="85" zoomScalePageLayoutView="0" workbookViewId="0" topLeftCell="A1">
      <pane ySplit="4" topLeftCell="A32" activePane="bottomLeft" state="frozen"/>
      <selection pane="topLeft" activeCell="M6" sqref="M6"/>
      <selection pane="bottomLeft" activeCell="L43" sqref="L43"/>
    </sheetView>
  </sheetViews>
  <sheetFormatPr defaultColWidth="9.00390625" defaultRowHeight="13.5"/>
  <cols>
    <col min="1" max="1" width="3.00390625" style="1" customWidth="1"/>
    <col min="2" max="2" width="33.875" style="1" customWidth="1"/>
    <col min="3" max="3" width="12.00390625" style="1" customWidth="1"/>
    <col min="4" max="5" width="11.125" style="1" customWidth="1"/>
    <col min="6" max="6" width="12.00390625" style="1" customWidth="1"/>
    <col min="7" max="8" width="8.75390625" style="1" customWidth="1"/>
    <col min="9" max="10" width="12.00390625" style="1" hidden="1" customWidth="1"/>
    <col min="11" max="11" width="12.00390625" style="1" customWidth="1"/>
    <col min="12" max="12" width="12.00390625" style="11" customWidth="1"/>
    <col min="13" max="16384" width="9.00390625" style="1" customWidth="1"/>
  </cols>
  <sheetData>
    <row r="1" spans="1:13" ht="21" customHeight="1">
      <c r="A1" s="212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0"/>
      <c r="M1" s="37"/>
    </row>
    <row r="2" spans="1:13" ht="21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2" t="s">
        <v>298</v>
      </c>
      <c r="M2" s="37"/>
    </row>
    <row r="3" spans="1:13" s="4" customFormat="1" ht="24" customHeight="1">
      <c r="A3" s="485" t="s">
        <v>69</v>
      </c>
      <c r="B3" s="486"/>
      <c r="C3" s="206" t="s">
        <v>62</v>
      </c>
      <c r="D3" s="477" t="s">
        <v>77</v>
      </c>
      <c r="E3" s="478"/>
      <c r="F3" s="207" t="s">
        <v>63</v>
      </c>
      <c r="G3" s="206" t="s">
        <v>64</v>
      </c>
      <c r="H3" s="208" t="s">
        <v>65</v>
      </c>
      <c r="I3" s="204" t="s">
        <v>66</v>
      </c>
      <c r="J3" s="204" t="s">
        <v>67</v>
      </c>
      <c r="K3" s="479" t="s">
        <v>217</v>
      </c>
      <c r="L3" s="481" t="s">
        <v>216</v>
      </c>
      <c r="M3" s="53"/>
    </row>
    <row r="4" spans="1:13" s="4" customFormat="1" ht="24" customHeight="1">
      <c r="A4" s="487"/>
      <c r="B4" s="488"/>
      <c r="C4" s="209" t="s">
        <v>70</v>
      </c>
      <c r="D4" s="209" t="s">
        <v>71</v>
      </c>
      <c r="E4" s="210" t="s">
        <v>72</v>
      </c>
      <c r="F4" s="209" t="s">
        <v>73</v>
      </c>
      <c r="G4" s="211" t="s">
        <v>73</v>
      </c>
      <c r="H4" s="209" t="s">
        <v>73</v>
      </c>
      <c r="I4" s="205" t="s">
        <v>74</v>
      </c>
      <c r="J4" s="205" t="s">
        <v>75</v>
      </c>
      <c r="K4" s="480"/>
      <c r="L4" s="482"/>
      <c r="M4" s="53"/>
    </row>
    <row r="5" spans="1:13" ht="22.5" customHeight="1">
      <c r="A5" s="473" t="s">
        <v>30</v>
      </c>
      <c r="B5" s="474"/>
      <c r="C5" s="419">
        <f aca="true" t="shared" si="0" ref="C5:H5">SUM(C7:C51)</f>
        <v>44064</v>
      </c>
      <c r="D5" s="420">
        <f t="shared" si="0"/>
        <v>5097</v>
      </c>
      <c r="E5" s="420">
        <f t="shared" si="0"/>
        <v>4951</v>
      </c>
      <c r="F5" s="421">
        <f t="shared" si="0"/>
        <v>3242</v>
      </c>
      <c r="G5" s="419">
        <f t="shared" si="0"/>
        <v>38</v>
      </c>
      <c r="H5" s="422">
        <f t="shared" si="0"/>
        <v>0</v>
      </c>
      <c r="I5" s="423"/>
      <c r="J5" s="419">
        <f>SUM(J7:J51)</f>
        <v>0</v>
      </c>
      <c r="K5" s="419">
        <f>SUM(K7:K51)</f>
        <v>19766</v>
      </c>
      <c r="L5" s="417">
        <f>K5/C5*100</f>
        <v>44.85748002904866</v>
      </c>
      <c r="M5" s="37"/>
    </row>
    <row r="6" spans="1:13" ht="22.5" customHeight="1">
      <c r="A6" s="202"/>
      <c r="B6" s="202"/>
      <c r="C6" s="278"/>
      <c r="D6" s="279"/>
      <c r="E6" s="278"/>
      <c r="F6" s="279"/>
      <c r="G6" s="278"/>
      <c r="H6" s="279"/>
      <c r="I6" s="280"/>
      <c r="J6" s="280"/>
      <c r="K6" s="280"/>
      <c r="L6" s="281"/>
      <c r="M6" s="37"/>
    </row>
    <row r="7" spans="1:13" ht="22.5" customHeight="1">
      <c r="A7" s="489" t="s">
        <v>287</v>
      </c>
      <c r="B7" s="203" t="s">
        <v>213</v>
      </c>
      <c r="C7" s="320">
        <v>10488</v>
      </c>
      <c r="D7" s="321">
        <f>845+130+100</f>
        <v>1075</v>
      </c>
      <c r="E7" s="320">
        <f>613+107+94</f>
        <v>814</v>
      </c>
      <c r="F7" s="321">
        <f>739</f>
        <v>739</v>
      </c>
      <c r="G7" s="320">
        <f>11+5+2</f>
        <v>18</v>
      </c>
      <c r="H7" s="321">
        <v>0</v>
      </c>
      <c r="I7" s="322"/>
      <c r="J7" s="322"/>
      <c r="K7" s="322">
        <v>3226</v>
      </c>
      <c r="L7" s="424">
        <f>K7/C7*100</f>
        <v>30.75896262395118</v>
      </c>
      <c r="M7" s="54"/>
    </row>
    <row r="8" spans="1:13" ht="22.5" customHeight="1">
      <c r="A8" s="490"/>
      <c r="B8" s="203" t="s">
        <v>212</v>
      </c>
      <c r="C8" s="320">
        <v>1300</v>
      </c>
      <c r="D8" s="321">
        <f>119+14+36</f>
        <v>169</v>
      </c>
      <c r="E8" s="320">
        <f>52+8+25</f>
        <v>85</v>
      </c>
      <c r="F8" s="321">
        <f>78</f>
        <v>78</v>
      </c>
      <c r="G8" s="320">
        <v>0</v>
      </c>
      <c r="H8" s="321">
        <v>0</v>
      </c>
      <c r="I8" s="322"/>
      <c r="J8" s="322"/>
      <c r="K8" s="322">
        <v>889</v>
      </c>
      <c r="L8" s="424">
        <f>K8/C8*100</f>
        <v>68.38461538461539</v>
      </c>
      <c r="M8" s="54"/>
    </row>
    <row r="9" spans="1:13" ht="22.5" customHeight="1">
      <c r="A9" s="490"/>
      <c r="B9" s="203" t="s">
        <v>214</v>
      </c>
      <c r="C9" s="320">
        <v>1683</v>
      </c>
      <c r="D9" s="321">
        <f>196+17+14</f>
        <v>227</v>
      </c>
      <c r="E9" s="320">
        <f>34+2+6</f>
        <v>42</v>
      </c>
      <c r="F9" s="321">
        <f>89</f>
        <v>89</v>
      </c>
      <c r="G9" s="320">
        <f>2</f>
        <v>2</v>
      </c>
      <c r="H9" s="321">
        <v>0</v>
      </c>
      <c r="I9" s="322"/>
      <c r="J9" s="322"/>
      <c r="K9" s="322">
        <v>795</v>
      </c>
      <c r="L9" s="424">
        <f>K9/C9*100</f>
        <v>47.23707664884135</v>
      </c>
      <c r="M9" s="54"/>
    </row>
    <row r="10" spans="1:13" ht="22.5" customHeight="1">
      <c r="A10" s="491"/>
      <c r="B10" s="203" t="s">
        <v>215</v>
      </c>
      <c r="C10" s="320">
        <v>8514</v>
      </c>
      <c r="D10" s="321">
        <f>412+223+219</f>
        <v>854</v>
      </c>
      <c r="E10" s="320">
        <f>669+489+1097</f>
        <v>2255</v>
      </c>
      <c r="F10" s="321">
        <f>729</f>
        <v>729</v>
      </c>
      <c r="G10" s="320">
        <f>2</f>
        <v>2</v>
      </c>
      <c r="H10" s="321">
        <v>0</v>
      </c>
      <c r="I10" s="322"/>
      <c r="J10" s="322"/>
      <c r="K10" s="322">
        <v>5335</v>
      </c>
      <c r="L10" s="424">
        <f>K10/C10*100</f>
        <v>62.661498708010335</v>
      </c>
      <c r="M10" s="54"/>
    </row>
    <row r="11" spans="1:13" ht="22.5" customHeight="1">
      <c r="A11" s="473" t="s">
        <v>32</v>
      </c>
      <c r="B11" s="474"/>
      <c r="C11" s="323">
        <v>2822</v>
      </c>
      <c r="D11" s="324">
        <f>192+46+27</f>
        <v>265</v>
      </c>
      <c r="E11" s="323">
        <f>218+102+137</f>
        <v>457</v>
      </c>
      <c r="F11" s="324">
        <f>206</f>
        <v>206</v>
      </c>
      <c r="G11" s="323">
        <f>6+2</f>
        <v>8</v>
      </c>
      <c r="H11" s="324">
        <v>0</v>
      </c>
      <c r="I11" s="317"/>
      <c r="J11" s="317"/>
      <c r="K11" s="317">
        <v>1874</v>
      </c>
      <c r="L11" s="417">
        <f>K11/C11*100</f>
        <v>66.40680368532955</v>
      </c>
      <c r="M11" s="37"/>
    </row>
    <row r="12" spans="1:13" ht="22.5" customHeight="1">
      <c r="A12" s="202"/>
      <c r="B12" s="201"/>
      <c r="C12" s="278"/>
      <c r="D12" s="279"/>
      <c r="E12" s="278"/>
      <c r="F12" s="279"/>
      <c r="G12" s="278"/>
      <c r="H12" s="279"/>
      <c r="I12" s="280"/>
      <c r="J12" s="280"/>
      <c r="K12" s="280"/>
      <c r="L12" s="281"/>
      <c r="M12" s="37"/>
    </row>
    <row r="13" spans="1:13" ht="22.5" customHeight="1">
      <c r="A13" s="473" t="s">
        <v>33</v>
      </c>
      <c r="B13" s="474"/>
      <c r="C13" s="323">
        <v>11</v>
      </c>
      <c r="D13" s="317">
        <f>1</f>
        <v>1</v>
      </c>
      <c r="E13" s="323">
        <v>0</v>
      </c>
      <c r="F13" s="324">
        <f>1</f>
        <v>1</v>
      </c>
      <c r="G13" s="323">
        <v>0</v>
      </c>
      <c r="H13" s="324">
        <v>0</v>
      </c>
      <c r="I13" s="317"/>
      <c r="J13" s="317"/>
      <c r="K13" s="317">
        <v>26</v>
      </c>
      <c r="L13" s="417">
        <f>K13/C13*100</f>
        <v>236.36363636363637</v>
      </c>
      <c r="M13" s="37"/>
    </row>
    <row r="14" spans="1:13" ht="22.5" customHeight="1">
      <c r="A14" s="473" t="s">
        <v>76</v>
      </c>
      <c r="B14" s="474"/>
      <c r="C14" s="317">
        <v>0</v>
      </c>
      <c r="D14" s="317">
        <v>0</v>
      </c>
      <c r="E14" s="323">
        <v>0</v>
      </c>
      <c r="F14" s="325">
        <v>0</v>
      </c>
      <c r="G14" s="323">
        <v>0</v>
      </c>
      <c r="H14" s="324">
        <v>0</v>
      </c>
      <c r="I14" s="317"/>
      <c r="J14" s="317"/>
      <c r="K14" s="323">
        <v>0</v>
      </c>
      <c r="L14" s="417" t="str">
        <f>IF(C14=0,"-",K14/C14*100)</f>
        <v>-</v>
      </c>
      <c r="M14" s="37"/>
    </row>
    <row r="15" spans="1:13" ht="22.5" customHeight="1">
      <c r="A15" s="473" t="s">
        <v>35</v>
      </c>
      <c r="B15" s="474"/>
      <c r="C15" s="323">
        <v>35</v>
      </c>
      <c r="D15" s="324">
        <f>1</f>
        <v>1</v>
      </c>
      <c r="E15" s="323">
        <f>2+1</f>
        <v>3</v>
      </c>
      <c r="F15" s="324">
        <f>2</f>
        <v>2</v>
      </c>
      <c r="G15" s="323">
        <f>1</f>
        <v>1</v>
      </c>
      <c r="H15" s="324">
        <v>0</v>
      </c>
      <c r="I15" s="317"/>
      <c r="J15" s="317"/>
      <c r="K15" s="317">
        <v>37</v>
      </c>
      <c r="L15" s="417">
        <f>K15/C15*100</f>
        <v>105.71428571428572</v>
      </c>
      <c r="M15" s="37"/>
    </row>
    <row r="16" spans="1:13" ht="22.5" customHeight="1">
      <c r="A16" s="473" t="s">
        <v>36</v>
      </c>
      <c r="B16" s="474"/>
      <c r="C16" s="323">
        <v>5</v>
      </c>
      <c r="D16" s="317">
        <v>0</v>
      </c>
      <c r="E16" s="323">
        <v>0</v>
      </c>
      <c r="F16" s="324">
        <v>0</v>
      </c>
      <c r="G16" s="323">
        <v>0</v>
      </c>
      <c r="H16" s="324">
        <v>0</v>
      </c>
      <c r="I16" s="317"/>
      <c r="J16" s="317"/>
      <c r="K16" s="317">
        <v>5</v>
      </c>
      <c r="L16" s="417">
        <f>K16/C16*100</f>
        <v>100</v>
      </c>
      <c r="M16" s="37"/>
    </row>
    <row r="17" spans="1:13" ht="22.5" customHeight="1">
      <c r="A17" s="473" t="s">
        <v>37</v>
      </c>
      <c r="B17" s="474"/>
      <c r="C17" s="323">
        <v>2981</v>
      </c>
      <c r="D17" s="324">
        <f>245+58+51</f>
        <v>354</v>
      </c>
      <c r="E17" s="323">
        <f>110+50+75</f>
        <v>235</v>
      </c>
      <c r="F17" s="324">
        <f>176</f>
        <v>176</v>
      </c>
      <c r="G17" s="323">
        <v>0</v>
      </c>
      <c r="H17" s="324">
        <v>0</v>
      </c>
      <c r="I17" s="317"/>
      <c r="J17" s="317"/>
      <c r="K17" s="317">
        <v>1445</v>
      </c>
      <c r="L17" s="417">
        <f>K17/C17*100</f>
        <v>48.47366655484737</v>
      </c>
      <c r="M17" s="37"/>
    </row>
    <row r="18" spans="1:13" ht="22.5" customHeight="1">
      <c r="A18" s="202"/>
      <c r="B18" s="201"/>
      <c r="C18" s="278"/>
      <c r="D18" s="279"/>
      <c r="E18" s="278"/>
      <c r="F18" s="279"/>
      <c r="G18" s="278"/>
      <c r="H18" s="279"/>
      <c r="I18" s="280"/>
      <c r="J18" s="280"/>
      <c r="K18" s="280"/>
      <c r="L18" s="281"/>
      <c r="M18" s="37"/>
    </row>
    <row r="19" spans="1:13" ht="22.5" customHeight="1">
      <c r="A19" s="473" t="s">
        <v>38</v>
      </c>
      <c r="B19" s="474"/>
      <c r="C19" s="323">
        <v>24</v>
      </c>
      <c r="D19" s="324">
        <f>1+2</f>
        <v>3</v>
      </c>
      <c r="E19" s="323">
        <v>0</v>
      </c>
      <c r="F19" s="324">
        <f>2</f>
        <v>2</v>
      </c>
      <c r="G19" s="323">
        <v>0</v>
      </c>
      <c r="H19" s="324">
        <v>0</v>
      </c>
      <c r="I19" s="317"/>
      <c r="J19" s="317"/>
      <c r="K19" s="317">
        <v>90</v>
      </c>
      <c r="L19" s="417">
        <f>K19/C19*100</f>
        <v>375</v>
      </c>
      <c r="M19" s="37"/>
    </row>
    <row r="20" spans="1:13" ht="22.5" customHeight="1">
      <c r="A20" s="473" t="s">
        <v>39</v>
      </c>
      <c r="B20" s="474"/>
      <c r="C20" s="323">
        <v>49</v>
      </c>
      <c r="D20" s="324">
        <f>7</f>
        <v>7</v>
      </c>
      <c r="E20" s="323">
        <v>4</v>
      </c>
      <c r="F20" s="324">
        <f>1</f>
        <v>1</v>
      </c>
      <c r="G20" s="323">
        <v>0</v>
      </c>
      <c r="H20" s="324">
        <v>0</v>
      </c>
      <c r="I20" s="317"/>
      <c r="J20" s="317"/>
      <c r="K20" s="317">
        <v>49</v>
      </c>
      <c r="L20" s="417">
        <f>K20/C20*100</f>
        <v>100</v>
      </c>
      <c r="M20" s="37"/>
    </row>
    <row r="21" spans="1:13" ht="22.5" customHeight="1">
      <c r="A21" s="473" t="s">
        <v>40</v>
      </c>
      <c r="B21" s="474"/>
      <c r="C21" s="323">
        <v>106</v>
      </c>
      <c r="D21" s="324">
        <f>7+3+3</f>
        <v>13</v>
      </c>
      <c r="E21" s="323">
        <f>3+2</f>
        <v>5</v>
      </c>
      <c r="F21" s="324">
        <f>2</f>
        <v>2</v>
      </c>
      <c r="G21" s="323">
        <v>0</v>
      </c>
      <c r="H21" s="324">
        <v>0</v>
      </c>
      <c r="I21" s="317"/>
      <c r="J21" s="317"/>
      <c r="K21" s="317">
        <v>85</v>
      </c>
      <c r="L21" s="417">
        <f>K21/C21*100</f>
        <v>80.18867924528303</v>
      </c>
      <c r="M21" s="37"/>
    </row>
    <row r="22" spans="1:13" ht="22.5" customHeight="1">
      <c r="A22" s="473" t="s">
        <v>28</v>
      </c>
      <c r="B22" s="474"/>
      <c r="C22" s="323">
        <v>204</v>
      </c>
      <c r="D22" s="324">
        <f>27+1</f>
        <v>28</v>
      </c>
      <c r="E22" s="323">
        <f>18+1+3</f>
        <v>22</v>
      </c>
      <c r="F22" s="324">
        <f>14</f>
        <v>14</v>
      </c>
      <c r="G22" s="323">
        <v>0</v>
      </c>
      <c r="H22" s="324">
        <v>0</v>
      </c>
      <c r="I22" s="317"/>
      <c r="J22" s="317"/>
      <c r="K22" s="317">
        <v>134</v>
      </c>
      <c r="L22" s="417">
        <f>K22/C22*100</f>
        <v>65.68627450980392</v>
      </c>
      <c r="M22" s="37"/>
    </row>
    <row r="23" spans="1:13" ht="22.5" customHeight="1">
      <c r="A23" s="473" t="s">
        <v>41</v>
      </c>
      <c r="B23" s="474"/>
      <c r="C23" s="323">
        <v>4705</v>
      </c>
      <c r="D23" s="324">
        <f>501+142+94</f>
        <v>737</v>
      </c>
      <c r="E23" s="323">
        <f>175+68+58</f>
        <v>301</v>
      </c>
      <c r="F23" s="324">
        <f>423</f>
        <v>423</v>
      </c>
      <c r="G23" s="323">
        <v>0</v>
      </c>
      <c r="H23" s="324">
        <v>0</v>
      </c>
      <c r="I23" s="317"/>
      <c r="J23" s="317"/>
      <c r="K23" s="317">
        <v>1514</v>
      </c>
      <c r="L23" s="417">
        <f>K23/C23*100</f>
        <v>32.17853347502657</v>
      </c>
      <c r="M23" s="37"/>
    </row>
    <row r="24" spans="1:13" ht="22.5" customHeight="1">
      <c r="A24" s="202"/>
      <c r="B24" s="201"/>
      <c r="C24" s="278"/>
      <c r="D24" s="279"/>
      <c r="E24" s="278"/>
      <c r="F24" s="279"/>
      <c r="G24" s="278"/>
      <c r="H24" s="279"/>
      <c r="I24" s="280"/>
      <c r="J24" s="280"/>
      <c r="K24" s="280"/>
      <c r="L24" s="281"/>
      <c r="M24" s="37"/>
    </row>
    <row r="25" spans="1:13" ht="22.5" customHeight="1">
      <c r="A25" s="473" t="s">
        <v>42</v>
      </c>
      <c r="B25" s="474"/>
      <c r="C25" s="323">
        <v>38</v>
      </c>
      <c r="D25" s="324">
        <f>6</f>
        <v>6</v>
      </c>
      <c r="E25" s="323">
        <f>1+1</f>
        <v>2</v>
      </c>
      <c r="F25" s="324">
        <v>0</v>
      </c>
      <c r="G25" s="323">
        <v>0</v>
      </c>
      <c r="H25" s="324">
        <v>0</v>
      </c>
      <c r="I25" s="317"/>
      <c r="J25" s="317"/>
      <c r="K25" s="317">
        <v>76</v>
      </c>
      <c r="L25" s="417">
        <f>K25/C25*100</f>
        <v>200</v>
      </c>
      <c r="M25" s="37"/>
    </row>
    <row r="26" spans="1:13" ht="22.5" customHeight="1">
      <c r="A26" s="473" t="s">
        <v>43</v>
      </c>
      <c r="B26" s="474"/>
      <c r="C26" s="323">
        <v>336</v>
      </c>
      <c r="D26" s="324">
        <f>16+4+3</f>
        <v>23</v>
      </c>
      <c r="E26" s="323">
        <f>14+2</f>
        <v>16</v>
      </c>
      <c r="F26" s="324">
        <f>48</f>
        <v>48</v>
      </c>
      <c r="G26" s="323">
        <f>1</f>
        <v>1</v>
      </c>
      <c r="H26" s="324">
        <v>0</v>
      </c>
      <c r="I26" s="317"/>
      <c r="J26" s="317"/>
      <c r="K26" s="317">
        <v>120</v>
      </c>
      <c r="L26" s="417">
        <f>K26/C26*100</f>
        <v>35.714285714285715</v>
      </c>
      <c r="M26" s="37"/>
    </row>
    <row r="27" spans="1:13" ht="22.5" customHeight="1">
      <c r="A27" s="473" t="s">
        <v>44</v>
      </c>
      <c r="B27" s="474"/>
      <c r="C27" s="323">
        <v>5531</v>
      </c>
      <c r="D27" s="324">
        <f>509+80+79</f>
        <v>668</v>
      </c>
      <c r="E27" s="323">
        <f>234+75+65</f>
        <v>374</v>
      </c>
      <c r="F27" s="324">
        <f>428</f>
        <v>428</v>
      </c>
      <c r="G27" s="323">
        <v>0</v>
      </c>
      <c r="H27" s="324">
        <v>0</v>
      </c>
      <c r="I27" s="317"/>
      <c r="J27" s="317"/>
      <c r="K27" s="317">
        <v>1458</v>
      </c>
      <c r="L27" s="417">
        <f>K27/C27*100</f>
        <v>26.360513469535345</v>
      </c>
      <c r="M27" s="37"/>
    </row>
    <row r="28" spans="1:13" ht="22.5" customHeight="1">
      <c r="A28" s="473" t="s">
        <v>45</v>
      </c>
      <c r="B28" s="474"/>
      <c r="C28" s="323">
        <v>158</v>
      </c>
      <c r="D28" s="324">
        <f>9+5</f>
        <v>14</v>
      </c>
      <c r="E28" s="323">
        <f>2+2+1</f>
        <v>5</v>
      </c>
      <c r="F28" s="324">
        <f>8</f>
        <v>8</v>
      </c>
      <c r="G28" s="323">
        <v>0</v>
      </c>
      <c r="H28" s="324">
        <v>0</v>
      </c>
      <c r="I28" s="317"/>
      <c r="J28" s="317"/>
      <c r="K28" s="317">
        <v>148</v>
      </c>
      <c r="L28" s="417">
        <f>K28/C28*100</f>
        <v>93.67088607594937</v>
      </c>
      <c r="M28" s="37"/>
    </row>
    <row r="29" spans="1:13" ht="22.5" customHeight="1">
      <c r="A29" s="473" t="s">
        <v>46</v>
      </c>
      <c r="B29" s="474"/>
      <c r="C29" s="323">
        <v>2718</v>
      </c>
      <c r="D29" s="324">
        <f>270+61+48</f>
        <v>379</v>
      </c>
      <c r="E29" s="323">
        <f>117+48+37</f>
        <v>202</v>
      </c>
      <c r="F29" s="324">
        <f>189</f>
        <v>189</v>
      </c>
      <c r="G29" s="323">
        <f>2</f>
        <v>2</v>
      </c>
      <c r="H29" s="324">
        <v>0</v>
      </c>
      <c r="I29" s="317"/>
      <c r="J29" s="317"/>
      <c r="K29" s="317">
        <v>1391</v>
      </c>
      <c r="L29" s="417">
        <f>K29/C29*100</f>
        <v>51.177336276674026</v>
      </c>
      <c r="M29" s="37"/>
    </row>
    <row r="30" spans="1:13" ht="22.5" customHeight="1">
      <c r="A30" s="202"/>
      <c r="B30" s="201"/>
      <c r="C30" s="278"/>
      <c r="D30" s="279"/>
      <c r="E30" s="278"/>
      <c r="F30" s="279"/>
      <c r="G30" s="278"/>
      <c r="H30" s="279"/>
      <c r="I30" s="280"/>
      <c r="J30" s="280"/>
      <c r="K30" s="280"/>
      <c r="L30" s="281"/>
      <c r="M30" s="37"/>
    </row>
    <row r="31" spans="1:13" ht="22.5" customHeight="1">
      <c r="A31" s="473" t="s">
        <v>47</v>
      </c>
      <c r="B31" s="474"/>
      <c r="C31" s="323">
        <v>25</v>
      </c>
      <c r="D31" s="324">
        <f>2</f>
        <v>2</v>
      </c>
      <c r="E31" s="323">
        <f>1</f>
        <v>1</v>
      </c>
      <c r="F31" s="324">
        <f>3</f>
        <v>3</v>
      </c>
      <c r="G31" s="323">
        <v>0</v>
      </c>
      <c r="H31" s="324">
        <v>0</v>
      </c>
      <c r="I31" s="317"/>
      <c r="J31" s="317"/>
      <c r="K31" s="317">
        <v>36</v>
      </c>
      <c r="L31" s="417">
        <f>K31/C31*100</f>
        <v>144</v>
      </c>
      <c r="M31" s="37"/>
    </row>
    <row r="32" spans="1:13" ht="22.5" customHeight="1">
      <c r="A32" s="473" t="s">
        <v>48</v>
      </c>
      <c r="B32" s="474"/>
      <c r="C32" s="323">
        <v>7</v>
      </c>
      <c r="D32" s="317">
        <v>0</v>
      </c>
      <c r="E32" s="323">
        <v>0</v>
      </c>
      <c r="F32" s="324">
        <f>1</f>
        <v>1</v>
      </c>
      <c r="G32" s="323">
        <v>0</v>
      </c>
      <c r="H32" s="324">
        <v>0</v>
      </c>
      <c r="I32" s="317"/>
      <c r="J32" s="317"/>
      <c r="K32" s="317">
        <v>25</v>
      </c>
      <c r="L32" s="417">
        <f>K32/C32*100</f>
        <v>357.14285714285717</v>
      </c>
      <c r="M32" s="37"/>
    </row>
    <row r="33" spans="1:13" ht="22.5" customHeight="1">
      <c r="A33" s="473" t="s">
        <v>49</v>
      </c>
      <c r="B33" s="474"/>
      <c r="C33" s="323">
        <v>25</v>
      </c>
      <c r="D33" s="324">
        <f>1+2</f>
        <v>3</v>
      </c>
      <c r="E33" s="323">
        <f>2</f>
        <v>2</v>
      </c>
      <c r="F33" s="324">
        <v>0</v>
      </c>
      <c r="G33" s="323">
        <v>0</v>
      </c>
      <c r="H33" s="324">
        <v>0</v>
      </c>
      <c r="I33" s="317"/>
      <c r="J33" s="317"/>
      <c r="K33" s="317">
        <v>11</v>
      </c>
      <c r="L33" s="417">
        <f>K33/C33*100</f>
        <v>44</v>
      </c>
      <c r="M33" s="37"/>
    </row>
    <row r="34" spans="1:13" ht="22.5" customHeight="1">
      <c r="A34" s="492" t="s">
        <v>29</v>
      </c>
      <c r="B34" s="493"/>
      <c r="C34" s="317">
        <v>0</v>
      </c>
      <c r="D34" s="317">
        <v>0</v>
      </c>
      <c r="E34" s="323">
        <v>0</v>
      </c>
      <c r="F34" s="325">
        <v>0</v>
      </c>
      <c r="G34" s="323">
        <v>0</v>
      </c>
      <c r="H34" s="324">
        <v>0</v>
      </c>
      <c r="I34" s="317"/>
      <c r="J34" s="317"/>
      <c r="K34" s="323">
        <v>0</v>
      </c>
      <c r="L34" s="417" t="str">
        <f>IF(C34=0,"-",K34/C34*100)</f>
        <v>-</v>
      </c>
      <c r="M34" s="37"/>
    </row>
    <row r="35" spans="1:13" ht="22.5" customHeight="1">
      <c r="A35" s="473" t="s">
        <v>50</v>
      </c>
      <c r="B35" s="474"/>
      <c r="C35" s="323">
        <v>334</v>
      </c>
      <c r="D35" s="324">
        <f>38+7+3</f>
        <v>48</v>
      </c>
      <c r="E35" s="323">
        <f>6+1</f>
        <v>7</v>
      </c>
      <c r="F35" s="324">
        <f>8</f>
        <v>8</v>
      </c>
      <c r="G35" s="323">
        <v>0</v>
      </c>
      <c r="H35" s="324">
        <v>0</v>
      </c>
      <c r="I35" s="317"/>
      <c r="J35" s="317"/>
      <c r="K35" s="317">
        <v>85</v>
      </c>
      <c r="L35" s="417">
        <f>K35/C35*100</f>
        <v>25.449101796407188</v>
      </c>
      <c r="M35" s="37"/>
    </row>
    <row r="36" spans="1:13" ht="22.5" customHeight="1">
      <c r="A36" s="202"/>
      <c r="B36" s="201"/>
      <c r="C36" s="278"/>
      <c r="D36" s="279"/>
      <c r="E36" s="278"/>
      <c r="F36" s="279"/>
      <c r="G36" s="278"/>
      <c r="H36" s="279"/>
      <c r="I36" s="280"/>
      <c r="J36" s="280"/>
      <c r="K36" s="280"/>
      <c r="L36" s="281"/>
      <c r="M36" s="37"/>
    </row>
    <row r="37" spans="1:13" ht="22.5" customHeight="1">
      <c r="A37" s="473" t="s">
        <v>51</v>
      </c>
      <c r="B37" s="474"/>
      <c r="C37" s="323">
        <v>66</v>
      </c>
      <c r="D37" s="324">
        <f>8+2</f>
        <v>10</v>
      </c>
      <c r="E37" s="323">
        <v>0</v>
      </c>
      <c r="F37" s="324">
        <f>3</f>
        <v>3</v>
      </c>
      <c r="G37" s="323">
        <f>1</f>
        <v>1</v>
      </c>
      <c r="H37" s="324">
        <v>0</v>
      </c>
      <c r="I37" s="317"/>
      <c r="J37" s="317"/>
      <c r="K37" s="317">
        <v>26</v>
      </c>
      <c r="L37" s="417">
        <f>K37/C37*100</f>
        <v>39.39393939393939</v>
      </c>
      <c r="M37" s="37"/>
    </row>
    <row r="38" spans="1:13" ht="22.5" customHeight="1">
      <c r="A38" s="473" t="s">
        <v>52</v>
      </c>
      <c r="B38" s="474"/>
      <c r="C38" s="323">
        <v>32</v>
      </c>
      <c r="D38" s="324">
        <f>2</f>
        <v>2</v>
      </c>
      <c r="E38" s="323">
        <f>5</f>
        <v>5</v>
      </c>
      <c r="F38" s="324">
        <f>2</f>
        <v>2</v>
      </c>
      <c r="G38" s="323">
        <v>0</v>
      </c>
      <c r="H38" s="324">
        <v>0</v>
      </c>
      <c r="I38" s="317"/>
      <c r="J38" s="317"/>
      <c r="K38" s="317">
        <v>24</v>
      </c>
      <c r="L38" s="417">
        <f>K38/C38*100</f>
        <v>75</v>
      </c>
      <c r="M38" s="37"/>
    </row>
    <row r="39" spans="1:13" ht="22.5" customHeight="1">
      <c r="A39" s="473" t="s">
        <v>53</v>
      </c>
      <c r="B39" s="474"/>
      <c r="C39" s="323">
        <v>88</v>
      </c>
      <c r="D39" s="324">
        <f>13+1+1</f>
        <v>15</v>
      </c>
      <c r="E39" s="323">
        <f>2</f>
        <v>2</v>
      </c>
      <c r="F39" s="324">
        <f>2</f>
        <v>2</v>
      </c>
      <c r="G39" s="323">
        <v>0</v>
      </c>
      <c r="H39" s="324">
        <v>0</v>
      </c>
      <c r="I39" s="317"/>
      <c r="J39" s="317"/>
      <c r="K39" s="317">
        <v>33</v>
      </c>
      <c r="L39" s="417">
        <f>K39/C39*100</f>
        <v>37.5</v>
      </c>
      <c r="M39" s="37"/>
    </row>
    <row r="40" spans="1:13" ht="22.5" customHeight="1">
      <c r="A40" s="473" t="s">
        <v>54</v>
      </c>
      <c r="B40" s="474"/>
      <c r="C40" s="323">
        <v>248</v>
      </c>
      <c r="D40" s="324">
        <f>37+5+1</f>
        <v>43</v>
      </c>
      <c r="E40" s="323">
        <f>2+1+1</f>
        <v>4</v>
      </c>
      <c r="F40" s="324">
        <f>15</f>
        <v>15</v>
      </c>
      <c r="G40" s="323">
        <v>0</v>
      </c>
      <c r="H40" s="324">
        <v>0</v>
      </c>
      <c r="I40" s="317"/>
      <c r="J40" s="317"/>
      <c r="K40" s="317">
        <v>130</v>
      </c>
      <c r="L40" s="417">
        <f>K40/C40*100</f>
        <v>52.41935483870967</v>
      </c>
      <c r="M40" s="37"/>
    </row>
    <row r="41" spans="1:13" ht="22.5" customHeight="1">
      <c r="A41" s="473" t="s">
        <v>55</v>
      </c>
      <c r="B41" s="474"/>
      <c r="C41" s="323">
        <v>40</v>
      </c>
      <c r="D41" s="324">
        <f>4</f>
        <v>4</v>
      </c>
      <c r="E41" s="323">
        <f>3</f>
        <v>3</v>
      </c>
      <c r="F41" s="324">
        <f>6</f>
        <v>6</v>
      </c>
      <c r="G41" s="323">
        <v>0</v>
      </c>
      <c r="H41" s="324">
        <v>0</v>
      </c>
      <c r="I41" s="317"/>
      <c r="J41" s="317"/>
      <c r="K41" s="317">
        <v>10</v>
      </c>
      <c r="L41" s="417">
        <f>K41/C41*100</f>
        <v>25</v>
      </c>
      <c r="M41" s="37"/>
    </row>
    <row r="42" spans="1:13" ht="22.5" customHeight="1">
      <c r="A42" s="202"/>
      <c r="B42" s="201"/>
      <c r="C42" s="278"/>
      <c r="D42" s="279"/>
      <c r="E42" s="278"/>
      <c r="F42" s="279"/>
      <c r="G42" s="278"/>
      <c r="H42" s="279"/>
      <c r="I42" s="280"/>
      <c r="J42" s="280"/>
      <c r="K42" s="280"/>
      <c r="L42" s="281"/>
      <c r="M42" s="37"/>
    </row>
    <row r="43" spans="1:13" ht="22.5" customHeight="1">
      <c r="A43" s="473" t="s">
        <v>56</v>
      </c>
      <c r="B43" s="474"/>
      <c r="C43" s="323">
        <v>419</v>
      </c>
      <c r="D43" s="324">
        <f>38+4+1</f>
        <v>43</v>
      </c>
      <c r="E43" s="323">
        <f>23+2+4</f>
        <v>29</v>
      </c>
      <c r="F43" s="324">
        <f>14</f>
        <v>14</v>
      </c>
      <c r="G43" s="323">
        <f>2</f>
        <v>2</v>
      </c>
      <c r="H43" s="324">
        <v>0</v>
      </c>
      <c r="I43" s="317"/>
      <c r="J43" s="317"/>
      <c r="K43" s="317">
        <v>163</v>
      </c>
      <c r="L43" s="417">
        <f>K43/C43*100</f>
        <v>38.902147971360385</v>
      </c>
      <c r="M43" s="37"/>
    </row>
    <row r="44" spans="1:13" ht="22.5" customHeight="1">
      <c r="A44" s="473" t="s">
        <v>57</v>
      </c>
      <c r="B44" s="474"/>
      <c r="C44" s="323">
        <v>864</v>
      </c>
      <c r="D44" s="324">
        <f>66+5+14</f>
        <v>85</v>
      </c>
      <c r="E44" s="323">
        <f>44+7+14</f>
        <v>65</v>
      </c>
      <c r="F44" s="324">
        <f>40</f>
        <v>40</v>
      </c>
      <c r="G44" s="323">
        <f>1</f>
        <v>1</v>
      </c>
      <c r="H44" s="324">
        <v>0</v>
      </c>
      <c r="I44" s="317"/>
      <c r="J44" s="317"/>
      <c r="K44" s="317">
        <v>383</v>
      </c>
      <c r="L44" s="417">
        <f>K44/C44*100</f>
        <v>44.3287037037037</v>
      </c>
      <c r="M44" s="37"/>
    </row>
    <row r="45" spans="1:13" ht="22.5" customHeight="1">
      <c r="A45" s="496" t="s">
        <v>272</v>
      </c>
      <c r="B45" s="497"/>
      <c r="C45" s="475">
        <v>36</v>
      </c>
      <c r="D45" s="475">
        <f>1+1</f>
        <v>2</v>
      </c>
      <c r="E45" s="475">
        <f>1</f>
        <v>1</v>
      </c>
      <c r="F45" s="475">
        <v>0</v>
      </c>
      <c r="G45" s="475">
        <v>0</v>
      </c>
      <c r="H45" s="475">
        <v>0</v>
      </c>
      <c r="I45" s="317"/>
      <c r="J45" s="317"/>
      <c r="K45" s="475">
        <v>11</v>
      </c>
      <c r="L45" s="483">
        <f>K45/C45*100</f>
        <v>30.555555555555557</v>
      </c>
      <c r="M45" s="37"/>
    </row>
    <row r="46" spans="1:13" ht="22.5" customHeight="1">
      <c r="A46" s="496"/>
      <c r="B46" s="497"/>
      <c r="C46" s="476"/>
      <c r="D46" s="476"/>
      <c r="E46" s="476"/>
      <c r="F46" s="476"/>
      <c r="G46" s="475"/>
      <c r="H46" s="475"/>
      <c r="I46" s="317"/>
      <c r="J46" s="317"/>
      <c r="K46" s="476"/>
      <c r="L46" s="484"/>
      <c r="M46" s="37"/>
    </row>
    <row r="47" spans="1:13" ht="22.5" customHeight="1">
      <c r="A47" s="473" t="s">
        <v>58</v>
      </c>
      <c r="B47" s="474"/>
      <c r="C47" s="317">
        <v>0</v>
      </c>
      <c r="D47" s="317">
        <v>0</v>
      </c>
      <c r="E47" s="323">
        <v>0</v>
      </c>
      <c r="F47" s="325">
        <v>0</v>
      </c>
      <c r="G47" s="323">
        <v>0</v>
      </c>
      <c r="H47" s="324">
        <v>0</v>
      </c>
      <c r="I47" s="317"/>
      <c r="J47" s="323"/>
      <c r="K47" s="323">
        <v>0</v>
      </c>
      <c r="L47" s="417" t="str">
        <f>IF(C47=0,"-",K47/C47*100)</f>
        <v>-</v>
      </c>
      <c r="M47" s="37"/>
    </row>
    <row r="48" spans="1:13" ht="22.5" customHeight="1">
      <c r="A48" s="473" t="s">
        <v>59</v>
      </c>
      <c r="B48" s="474"/>
      <c r="C48" s="323">
        <v>72</v>
      </c>
      <c r="D48" s="324">
        <f>7</f>
        <v>7</v>
      </c>
      <c r="E48" s="323">
        <f>7+1</f>
        <v>8</v>
      </c>
      <c r="F48" s="324">
        <f>6</f>
        <v>6</v>
      </c>
      <c r="G48" s="323">
        <v>0</v>
      </c>
      <c r="H48" s="324">
        <v>0</v>
      </c>
      <c r="I48" s="317"/>
      <c r="J48" s="317"/>
      <c r="K48" s="317">
        <v>59</v>
      </c>
      <c r="L48" s="417">
        <f>K48/C48*100</f>
        <v>81.94444444444444</v>
      </c>
      <c r="M48" s="37"/>
    </row>
    <row r="49" spans="1:13" ht="22.5" customHeight="1">
      <c r="A49" s="202"/>
      <c r="B49" s="201"/>
      <c r="C49" s="278"/>
      <c r="D49" s="279"/>
      <c r="E49" s="278"/>
      <c r="F49" s="279"/>
      <c r="G49" s="278"/>
      <c r="H49" s="279"/>
      <c r="I49" s="280"/>
      <c r="J49" s="280"/>
      <c r="K49" s="280"/>
      <c r="L49" s="281"/>
      <c r="M49" s="37"/>
    </row>
    <row r="50" spans="1:13" ht="22.5" customHeight="1">
      <c r="A50" s="473" t="s">
        <v>60</v>
      </c>
      <c r="B50" s="474"/>
      <c r="C50" s="323">
        <v>29</v>
      </c>
      <c r="D50" s="324">
        <v>0</v>
      </c>
      <c r="E50" s="323">
        <f>1</f>
        <v>1</v>
      </c>
      <c r="F50" s="324">
        <f>5</f>
        <v>5</v>
      </c>
      <c r="G50" s="323">
        <v>0</v>
      </c>
      <c r="H50" s="324">
        <v>0</v>
      </c>
      <c r="I50" s="317"/>
      <c r="J50" s="317"/>
      <c r="K50" s="317">
        <v>40</v>
      </c>
      <c r="L50" s="417">
        <f>K50/C50*100</f>
        <v>137.93103448275863</v>
      </c>
      <c r="M50" s="37"/>
    </row>
    <row r="51" spans="1:13" ht="22.5" customHeight="1" thickBot="1">
      <c r="A51" s="494" t="s">
        <v>61</v>
      </c>
      <c r="B51" s="495"/>
      <c r="C51" s="326">
        <v>71</v>
      </c>
      <c r="D51" s="327">
        <f>6+3</f>
        <v>9</v>
      </c>
      <c r="E51" s="326">
        <f>1</f>
        <v>1</v>
      </c>
      <c r="F51" s="327">
        <f>2</f>
        <v>2</v>
      </c>
      <c r="G51" s="326">
        <v>0</v>
      </c>
      <c r="H51" s="327">
        <v>0</v>
      </c>
      <c r="I51" s="328"/>
      <c r="J51" s="326"/>
      <c r="K51" s="328">
        <v>33</v>
      </c>
      <c r="L51" s="418">
        <f>K51/C51*100</f>
        <v>46.478873239436616</v>
      </c>
      <c r="M51" s="37"/>
    </row>
    <row r="52" spans="1:13" ht="13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56" t="s">
        <v>201</v>
      </c>
      <c r="M52" s="37"/>
    </row>
    <row r="53" spans="1:13" ht="13.5">
      <c r="A53" s="37"/>
      <c r="B53" s="37"/>
      <c r="C53" s="57"/>
      <c r="D53" s="37"/>
      <c r="E53" s="38"/>
      <c r="F53" s="314"/>
      <c r="G53" s="37"/>
      <c r="H53" s="57"/>
      <c r="I53" s="57"/>
      <c r="J53" s="57"/>
      <c r="K53" s="57"/>
      <c r="L53" s="50"/>
      <c r="M53" s="37"/>
    </row>
  </sheetData>
  <sheetProtection/>
  <mergeCells count="47">
    <mergeCell ref="A40:B40"/>
    <mergeCell ref="C45:C46"/>
    <mergeCell ref="D45:D46"/>
    <mergeCell ref="E45:E46"/>
    <mergeCell ref="A44:B44"/>
    <mergeCell ref="A41:B41"/>
    <mergeCell ref="A43:B43"/>
    <mergeCell ref="A34:B34"/>
    <mergeCell ref="A35:B35"/>
    <mergeCell ref="A51:B51"/>
    <mergeCell ref="A45:B46"/>
    <mergeCell ref="A47:B47"/>
    <mergeCell ref="A48:B48"/>
    <mergeCell ref="A50:B50"/>
    <mergeCell ref="A37:B37"/>
    <mergeCell ref="A38:B38"/>
    <mergeCell ref="A39:B39"/>
    <mergeCell ref="A17:B17"/>
    <mergeCell ref="A19:B19"/>
    <mergeCell ref="A20:B20"/>
    <mergeCell ref="A21:B21"/>
    <mergeCell ref="A32:B32"/>
    <mergeCell ref="A33:B33"/>
    <mergeCell ref="A22:B22"/>
    <mergeCell ref="A23:B23"/>
    <mergeCell ref="A25:B25"/>
    <mergeCell ref="A26:B26"/>
    <mergeCell ref="A27:B27"/>
    <mergeCell ref="A28:B28"/>
    <mergeCell ref="A29:B29"/>
    <mergeCell ref="A31:B31"/>
    <mergeCell ref="A3:B4"/>
    <mergeCell ref="A16:B16"/>
    <mergeCell ref="A7:A10"/>
    <mergeCell ref="A5:B5"/>
    <mergeCell ref="A11:B11"/>
    <mergeCell ref="A13:B13"/>
    <mergeCell ref="A14:B14"/>
    <mergeCell ref="A15:B15"/>
    <mergeCell ref="F45:F46"/>
    <mergeCell ref="D3:E3"/>
    <mergeCell ref="K3:K4"/>
    <mergeCell ref="L3:L4"/>
    <mergeCell ref="K45:K46"/>
    <mergeCell ref="L45:L46"/>
    <mergeCell ref="H45:H46"/>
    <mergeCell ref="G45:G46"/>
  </mergeCells>
  <printOptions/>
  <pageMargins left="0.7874015748031497" right="0.7874015748031497" top="0.984251968503937" bottom="0.56" header="0.5118110236220472" footer="0.5118110236220472"/>
  <pageSetup firstPageNumber="230" useFirstPageNumber="1" horizontalDpi="300" verticalDpi="300" orientation="portrait" paperSize="9" scale="68" r:id="rId1"/>
  <rowBreaks count="1" manualBreakCount="1">
    <brk id="53" min="1" max="11" man="1"/>
  </rowBreaks>
  <ignoredErrors>
    <ignoredError sqref="F20 E38 L14 L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85" zoomScaleNormal="75" zoomScaleSheetLayoutView="85" zoomScalePageLayoutView="0" workbookViewId="0" topLeftCell="A1">
      <pane ySplit="3" topLeftCell="A34" activePane="bottomLeft" state="frozen"/>
      <selection pane="topLeft" activeCell="M6" sqref="M6"/>
      <selection pane="bottomLeft" activeCell="C48" sqref="C48:C49"/>
    </sheetView>
  </sheetViews>
  <sheetFormatPr defaultColWidth="9.00390625" defaultRowHeight="13.5"/>
  <cols>
    <col min="1" max="1" width="3.00390625" style="1" customWidth="1"/>
    <col min="2" max="2" width="34.50390625" style="1" customWidth="1"/>
    <col min="3" max="3" width="10.875" style="1" customWidth="1"/>
    <col min="4" max="11" width="9.875" style="1" customWidth="1"/>
    <col min="12" max="12" width="10.75390625" style="1" bestFit="1" customWidth="1"/>
    <col min="13" max="16384" width="9.00390625" style="1" customWidth="1"/>
  </cols>
  <sheetData>
    <row r="1" ht="23.25" customHeight="1">
      <c r="A1" s="200" t="s">
        <v>280</v>
      </c>
    </row>
    <row r="2" spans="1:11" ht="23.25" customHeight="1" thickBot="1">
      <c r="A2" s="2"/>
      <c r="B2" s="2"/>
      <c r="C2" s="2"/>
      <c r="D2" s="2"/>
      <c r="E2" s="2"/>
      <c r="F2" s="2"/>
      <c r="G2" s="2"/>
      <c r="H2" s="2"/>
      <c r="I2" s="2"/>
      <c r="J2" s="13"/>
      <c r="K2" s="216" t="s">
        <v>299</v>
      </c>
    </row>
    <row r="3" spans="1:12" s="8" customFormat="1" ht="23.25" customHeight="1">
      <c r="A3" s="502" t="s">
        <v>69</v>
      </c>
      <c r="B3" s="503"/>
      <c r="C3" s="213" t="s">
        <v>218</v>
      </c>
      <c r="D3" s="214" t="s">
        <v>219</v>
      </c>
      <c r="E3" s="213" t="s">
        <v>220</v>
      </c>
      <c r="F3" s="214" t="s">
        <v>221</v>
      </c>
      <c r="G3" s="213" t="s">
        <v>222</v>
      </c>
      <c r="H3" s="215" t="s">
        <v>78</v>
      </c>
      <c r="I3" s="215" t="s">
        <v>223</v>
      </c>
      <c r="J3" s="215" t="s">
        <v>79</v>
      </c>
      <c r="K3" s="215" t="s">
        <v>80</v>
      </c>
      <c r="L3" s="9"/>
    </row>
    <row r="4" spans="1:12" ht="23.25" customHeight="1">
      <c r="A4" s="504" t="s">
        <v>30</v>
      </c>
      <c r="B4" s="505"/>
      <c r="C4" s="425">
        <f>SUM(C6:C49)</f>
        <v>44064</v>
      </c>
      <c r="D4" s="425">
        <f aca="true" t="shared" si="0" ref="D4:K4">SUM(D6:D49)</f>
        <v>9855</v>
      </c>
      <c r="E4" s="425">
        <f t="shared" si="0"/>
        <v>4222</v>
      </c>
      <c r="F4" s="425">
        <f t="shared" si="0"/>
        <v>3333</v>
      </c>
      <c r="G4" s="425">
        <f t="shared" si="0"/>
        <v>6712</v>
      </c>
      <c r="H4" s="425">
        <f t="shared" si="0"/>
        <v>1234</v>
      </c>
      <c r="I4" s="425">
        <f>SUM(I6:I49)</f>
        <v>4183</v>
      </c>
      <c r="J4" s="425">
        <f t="shared" si="0"/>
        <v>6677</v>
      </c>
      <c r="K4" s="426">
        <f t="shared" si="0"/>
        <v>7848</v>
      </c>
      <c r="L4" s="163"/>
    </row>
    <row r="5" spans="1:11" ht="23.25" customHeight="1">
      <c r="A5" s="506"/>
      <c r="B5" s="507"/>
      <c r="C5" s="310"/>
      <c r="D5" s="282"/>
      <c r="E5" s="283"/>
      <c r="F5" s="282"/>
      <c r="G5" s="283"/>
      <c r="H5" s="282"/>
      <c r="I5" s="284"/>
      <c r="J5" s="284"/>
      <c r="K5" s="284"/>
    </row>
    <row r="6" spans="1:14" ht="23.25" customHeight="1">
      <c r="A6" s="508" t="s">
        <v>289</v>
      </c>
      <c r="B6" s="180" t="s">
        <v>213</v>
      </c>
      <c r="C6" s="425">
        <f>SUM(D6:K6)</f>
        <v>10488</v>
      </c>
      <c r="D6" s="329">
        <v>2851</v>
      </c>
      <c r="E6" s="330">
        <v>910</v>
      </c>
      <c r="F6" s="331">
        <v>1034</v>
      </c>
      <c r="G6" s="332">
        <v>2066</v>
      </c>
      <c r="H6" s="333">
        <v>301</v>
      </c>
      <c r="I6" s="334">
        <v>1120</v>
      </c>
      <c r="J6" s="334">
        <v>1102</v>
      </c>
      <c r="K6" s="334">
        <v>1104</v>
      </c>
      <c r="M6" s="275"/>
      <c r="N6" s="262"/>
    </row>
    <row r="7" spans="1:13" ht="23.25" customHeight="1">
      <c r="A7" s="509"/>
      <c r="B7" s="180" t="s">
        <v>212</v>
      </c>
      <c r="C7" s="425">
        <f aca="true" t="shared" si="1" ref="C7:C49">SUM(D7:K7)</f>
        <v>1300</v>
      </c>
      <c r="D7" s="335">
        <v>296</v>
      </c>
      <c r="E7" s="330">
        <v>128</v>
      </c>
      <c r="F7" s="331">
        <v>120</v>
      </c>
      <c r="G7" s="332">
        <v>148</v>
      </c>
      <c r="H7" s="333">
        <v>34</v>
      </c>
      <c r="I7" s="334">
        <v>152</v>
      </c>
      <c r="J7" s="334">
        <v>139</v>
      </c>
      <c r="K7" s="334">
        <v>283</v>
      </c>
      <c r="M7" s="100"/>
    </row>
    <row r="8" spans="1:13" ht="23.25" customHeight="1">
      <c r="A8" s="509"/>
      <c r="B8" s="180" t="s">
        <v>224</v>
      </c>
      <c r="C8" s="425">
        <f t="shared" si="1"/>
        <v>1683</v>
      </c>
      <c r="D8" s="335">
        <v>235</v>
      </c>
      <c r="E8" s="330">
        <v>109</v>
      </c>
      <c r="F8" s="331">
        <v>88</v>
      </c>
      <c r="G8" s="332">
        <v>503</v>
      </c>
      <c r="H8" s="333">
        <v>271</v>
      </c>
      <c r="I8" s="334">
        <v>208</v>
      </c>
      <c r="J8" s="334">
        <v>109</v>
      </c>
      <c r="K8" s="334">
        <v>160</v>
      </c>
      <c r="M8" s="100"/>
    </row>
    <row r="9" spans="1:13" ht="23.25" customHeight="1">
      <c r="A9" s="510"/>
      <c r="B9" s="180" t="s">
        <v>225</v>
      </c>
      <c r="C9" s="425">
        <f t="shared" si="1"/>
        <v>8514</v>
      </c>
      <c r="D9" s="335">
        <v>1355</v>
      </c>
      <c r="E9" s="330">
        <v>633</v>
      </c>
      <c r="F9" s="331">
        <v>338</v>
      </c>
      <c r="G9" s="332">
        <v>824</v>
      </c>
      <c r="H9" s="333">
        <v>94</v>
      </c>
      <c r="I9" s="334">
        <v>531</v>
      </c>
      <c r="J9" s="334">
        <v>2129</v>
      </c>
      <c r="K9" s="334">
        <v>2610</v>
      </c>
      <c r="M9" s="275"/>
    </row>
    <row r="10" spans="1:13" ht="23.25" customHeight="1">
      <c r="A10" s="498" t="s">
        <v>32</v>
      </c>
      <c r="B10" s="499"/>
      <c r="C10" s="425">
        <f t="shared" si="1"/>
        <v>2822</v>
      </c>
      <c r="D10" s="336">
        <v>672</v>
      </c>
      <c r="E10" s="332">
        <v>323</v>
      </c>
      <c r="F10" s="333">
        <v>250</v>
      </c>
      <c r="G10" s="332">
        <v>409</v>
      </c>
      <c r="H10" s="333">
        <v>65</v>
      </c>
      <c r="I10" s="334">
        <v>240</v>
      </c>
      <c r="J10" s="334">
        <v>410</v>
      </c>
      <c r="K10" s="334">
        <v>453</v>
      </c>
      <c r="M10" s="100"/>
    </row>
    <row r="11" spans="1:11" s="37" customFormat="1" ht="23.25" customHeight="1">
      <c r="A11" s="263"/>
      <c r="B11" s="201"/>
      <c r="C11" s="310"/>
      <c r="D11" s="313"/>
      <c r="E11" s="310"/>
      <c r="F11" s="311"/>
      <c r="G11" s="310"/>
      <c r="H11" s="311"/>
      <c r="I11" s="312"/>
      <c r="J11" s="312"/>
      <c r="K11" s="312"/>
    </row>
    <row r="12" spans="1:13" ht="23.25" customHeight="1">
      <c r="A12" s="498" t="s">
        <v>33</v>
      </c>
      <c r="B12" s="499"/>
      <c r="C12" s="425">
        <f t="shared" si="1"/>
        <v>11</v>
      </c>
      <c r="D12" s="335">
        <v>4</v>
      </c>
      <c r="E12" s="332">
        <v>0</v>
      </c>
      <c r="F12" s="332">
        <v>0</v>
      </c>
      <c r="G12" s="332">
        <v>1</v>
      </c>
      <c r="H12" s="333">
        <v>1</v>
      </c>
      <c r="I12" s="334">
        <v>1</v>
      </c>
      <c r="J12" s="334">
        <v>1</v>
      </c>
      <c r="K12" s="334">
        <v>3</v>
      </c>
      <c r="M12" s="37"/>
    </row>
    <row r="13" spans="1:11" ht="23.25" customHeight="1">
      <c r="A13" s="498" t="s">
        <v>76</v>
      </c>
      <c r="B13" s="499"/>
      <c r="C13" s="426">
        <f t="shared" si="1"/>
        <v>0</v>
      </c>
      <c r="D13" s="335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4">
        <v>0</v>
      </c>
    </row>
    <row r="14" spans="1:11" ht="23.25" customHeight="1">
      <c r="A14" s="498" t="s">
        <v>35</v>
      </c>
      <c r="B14" s="499"/>
      <c r="C14" s="425">
        <f t="shared" si="1"/>
        <v>35</v>
      </c>
      <c r="D14" s="335">
        <v>15</v>
      </c>
      <c r="E14" s="332">
        <v>2</v>
      </c>
      <c r="F14" s="333">
        <v>2</v>
      </c>
      <c r="G14" s="332">
        <v>2</v>
      </c>
      <c r="H14" s="333">
        <v>2</v>
      </c>
      <c r="I14" s="334">
        <v>1</v>
      </c>
      <c r="J14" s="334">
        <v>7</v>
      </c>
      <c r="K14" s="334">
        <v>4</v>
      </c>
    </row>
    <row r="15" spans="1:11" ht="23.25" customHeight="1">
      <c r="A15" s="498" t="s">
        <v>36</v>
      </c>
      <c r="B15" s="499"/>
      <c r="C15" s="425">
        <f t="shared" si="1"/>
        <v>5</v>
      </c>
      <c r="D15" s="335">
        <v>1</v>
      </c>
      <c r="E15" s="332">
        <v>1</v>
      </c>
      <c r="F15" s="333">
        <v>1</v>
      </c>
      <c r="G15" s="332">
        <v>0</v>
      </c>
      <c r="H15" s="332">
        <v>0</v>
      </c>
      <c r="I15" s="334">
        <v>1</v>
      </c>
      <c r="J15" s="334">
        <v>1</v>
      </c>
      <c r="K15" s="334"/>
    </row>
    <row r="16" spans="1:11" ht="23.25" customHeight="1">
      <c r="A16" s="498" t="s">
        <v>37</v>
      </c>
      <c r="B16" s="499"/>
      <c r="C16" s="425">
        <f t="shared" si="1"/>
        <v>2981</v>
      </c>
      <c r="D16" s="335">
        <v>612</v>
      </c>
      <c r="E16" s="332">
        <v>317</v>
      </c>
      <c r="F16" s="333">
        <v>198</v>
      </c>
      <c r="G16" s="332">
        <v>430</v>
      </c>
      <c r="H16" s="333">
        <v>75</v>
      </c>
      <c r="I16" s="334">
        <v>355</v>
      </c>
      <c r="J16" s="334">
        <v>420</v>
      </c>
      <c r="K16" s="334">
        <v>574</v>
      </c>
    </row>
    <row r="17" spans="1:12" ht="23.25" customHeight="1">
      <c r="A17" s="179"/>
      <c r="B17" s="201"/>
      <c r="C17" s="310"/>
      <c r="D17" s="313"/>
      <c r="E17" s="310"/>
      <c r="F17" s="311"/>
      <c r="G17" s="310"/>
      <c r="H17" s="311"/>
      <c r="I17" s="312"/>
      <c r="J17" s="312"/>
      <c r="K17" s="312"/>
      <c r="L17" s="37"/>
    </row>
    <row r="18" spans="1:11" ht="23.25" customHeight="1">
      <c r="A18" s="498" t="s">
        <v>38</v>
      </c>
      <c r="B18" s="499"/>
      <c r="C18" s="425">
        <f t="shared" si="1"/>
        <v>24</v>
      </c>
      <c r="D18" s="335">
        <v>3</v>
      </c>
      <c r="E18" s="332">
        <v>0</v>
      </c>
      <c r="F18" s="333">
        <v>1</v>
      </c>
      <c r="G18" s="332">
        <v>2</v>
      </c>
      <c r="H18" s="332">
        <v>0</v>
      </c>
      <c r="I18" s="334">
        <v>6</v>
      </c>
      <c r="J18" s="334">
        <v>2</v>
      </c>
      <c r="K18" s="334">
        <v>10</v>
      </c>
    </row>
    <row r="19" spans="1:11" ht="23.25" customHeight="1">
      <c r="A19" s="498" t="s">
        <v>39</v>
      </c>
      <c r="B19" s="499"/>
      <c r="C19" s="425">
        <f t="shared" si="1"/>
        <v>49</v>
      </c>
      <c r="D19" s="335">
        <v>1</v>
      </c>
      <c r="E19" s="332">
        <v>0</v>
      </c>
      <c r="F19" s="333">
        <v>0</v>
      </c>
      <c r="G19" s="332">
        <v>1</v>
      </c>
      <c r="H19" s="332">
        <v>0</v>
      </c>
      <c r="I19" s="332">
        <v>2</v>
      </c>
      <c r="J19" s="334">
        <v>2</v>
      </c>
      <c r="K19" s="334">
        <v>43</v>
      </c>
    </row>
    <row r="20" spans="1:11" ht="23.25" customHeight="1">
      <c r="A20" s="498" t="s">
        <v>40</v>
      </c>
      <c r="B20" s="499"/>
      <c r="C20" s="425">
        <f t="shared" si="1"/>
        <v>106</v>
      </c>
      <c r="D20" s="335">
        <v>38</v>
      </c>
      <c r="E20" s="332">
        <v>7</v>
      </c>
      <c r="F20" s="333">
        <v>4</v>
      </c>
      <c r="G20" s="332">
        <v>3</v>
      </c>
      <c r="H20" s="332">
        <v>0</v>
      </c>
      <c r="I20" s="334">
        <v>5</v>
      </c>
      <c r="J20" s="334">
        <v>14</v>
      </c>
      <c r="K20" s="334">
        <v>35</v>
      </c>
    </row>
    <row r="21" spans="1:11" ht="23.25" customHeight="1">
      <c r="A21" s="498" t="s">
        <v>28</v>
      </c>
      <c r="B21" s="499"/>
      <c r="C21" s="425">
        <f t="shared" si="1"/>
        <v>204</v>
      </c>
      <c r="D21" s="335">
        <v>45</v>
      </c>
      <c r="E21" s="332">
        <v>20</v>
      </c>
      <c r="F21" s="333">
        <v>23</v>
      </c>
      <c r="G21" s="332">
        <v>71</v>
      </c>
      <c r="H21" s="333">
        <v>9</v>
      </c>
      <c r="I21" s="334">
        <v>9</v>
      </c>
      <c r="J21" s="334">
        <v>15</v>
      </c>
      <c r="K21" s="334">
        <v>12</v>
      </c>
    </row>
    <row r="22" spans="1:11" ht="23.25" customHeight="1">
      <c r="A22" s="498" t="s">
        <v>41</v>
      </c>
      <c r="B22" s="499"/>
      <c r="C22" s="425">
        <f t="shared" si="1"/>
        <v>4705</v>
      </c>
      <c r="D22" s="335">
        <v>1195</v>
      </c>
      <c r="E22" s="332">
        <v>544</v>
      </c>
      <c r="F22" s="333">
        <v>414</v>
      </c>
      <c r="G22" s="332">
        <v>570</v>
      </c>
      <c r="H22" s="333">
        <v>47</v>
      </c>
      <c r="I22" s="334">
        <v>378</v>
      </c>
      <c r="J22" s="334">
        <v>805</v>
      </c>
      <c r="K22" s="334">
        <v>752</v>
      </c>
    </row>
    <row r="23" spans="1:11" ht="23.25" customHeight="1">
      <c r="A23" s="179"/>
      <c r="B23" s="201"/>
      <c r="C23" s="310"/>
      <c r="D23" s="313"/>
      <c r="E23" s="310"/>
      <c r="F23" s="311"/>
      <c r="G23" s="310"/>
      <c r="H23" s="311"/>
      <c r="I23" s="312"/>
      <c r="J23" s="312"/>
      <c r="K23" s="312"/>
    </row>
    <row r="24" spans="1:11" ht="23.25" customHeight="1">
      <c r="A24" s="498" t="s">
        <v>42</v>
      </c>
      <c r="B24" s="499"/>
      <c r="C24" s="425">
        <f t="shared" si="1"/>
        <v>38</v>
      </c>
      <c r="D24" s="335">
        <v>10</v>
      </c>
      <c r="E24" s="332">
        <v>7</v>
      </c>
      <c r="F24" s="333">
        <v>5</v>
      </c>
      <c r="G24" s="332">
        <v>2</v>
      </c>
      <c r="H24" s="332">
        <v>0</v>
      </c>
      <c r="I24" s="334">
        <v>3</v>
      </c>
      <c r="J24" s="334">
        <v>6</v>
      </c>
      <c r="K24" s="334">
        <v>5</v>
      </c>
    </row>
    <row r="25" spans="1:11" ht="23.25" customHeight="1">
      <c r="A25" s="498" t="s">
        <v>43</v>
      </c>
      <c r="B25" s="499"/>
      <c r="C25" s="425">
        <f t="shared" si="1"/>
        <v>336</v>
      </c>
      <c r="D25" s="335">
        <v>68</v>
      </c>
      <c r="E25" s="332">
        <v>29</v>
      </c>
      <c r="F25" s="333">
        <v>24</v>
      </c>
      <c r="G25" s="332">
        <v>78</v>
      </c>
      <c r="H25" s="333">
        <v>18</v>
      </c>
      <c r="I25" s="334">
        <v>24</v>
      </c>
      <c r="J25" s="334">
        <v>47</v>
      </c>
      <c r="K25" s="334">
        <v>48</v>
      </c>
    </row>
    <row r="26" spans="1:11" ht="23.25" customHeight="1">
      <c r="A26" s="498" t="s">
        <v>44</v>
      </c>
      <c r="B26" s="499"/>
      <c r="C26" s="425">
        <f t="shared" si="1"/>
        <v>5531</v>
      </c>
      <c r="D26" s="335">
        <v>1325</v>
      </c>
      <c r="E26" s="332">
        <v>631</v>
      </c>
      <c r="F26" s="333">
        <v>392</v>
      </c>
      <c r="G26" s="332">
        <v>719</v>
      </c>
      <c r="H26" s="333">
        <v>123</v>
      </c>
      <c r="I26" s="334">
        <v>603</v>
      </c>
      <c r="J26" s="334">
        <v>777</v>
      </c>
      <c r="K26" s="334">
        <v>961</v>
      </c>
    </row>
    <row r="27" spans="1:11" ht="23.25" customHeight="1">
      <c r="A27" s="498" t="s">
        <v>45</v>
      </c>
      <c r="B27" s="499"/>
      <c r="C27" s="425">
        <f>SUM(D27:K27)</f>
        <v>158</v>
      </c>
      <c r="D27" s="336">
        <v>43</v>
      </c>
      <c r="E27" s="332">
        <v>9</v>
      </c>
      <c r="F27" s="333">
        <v>6</v>
      </c>
      <c r="G27" s="332">
        <v>24</v>
      </c>
      <c r="H27" s="332">
        <v>0</v>
      </c>
      <c r="I27" s="334">
        <v>13</v>
      </c>
      <c r="J27" s="334">
        <v>35</v>
      </c>
      <c r="K27" s="334">
        <v>28</v>
      </c>
    </row>
    <row r="28" spans="1:11" ht="23.25" customHeight="1">
      <c r="A28" s="498" t="s">
        <v>46</v>
      </c>
      <c r="B28" s="499"/>
      <c r="C28" s="425">
        <f t="shared" si="1"/>
        <v>2718</v>
      </c>
      <c r="D28" s="336">
        <v>628</v>
      </c>
      <c r="E28" s="332">
        <v>322</v>
      </c>
      <c r="F28" s="333">
        <v>213</v>
      </c>
      <c r="G28" s="332">
        <v>380</v>
      </c>
      <c r="H28" s="333">
        <v>77</v>
      </c>
      <c r="I28" s="334">
        <v>291</v>
      </c>
      <c r="J28" s="334">
        <v>413</v>
      </c>
      <c r="K28" s="334">
        <v>394</v>
      </c>
    </row>
    <row r="29" spans="1:11" ht="23.25" customHeight="1">
      <c r="A29" s="179"/>
      <c r="B29" s="201"/>
      <c r="C29" s="310"/>
      <c r="D29" s="313"/>
      <c r="E29" s="310"/>
      <c r="F29" s="311"/>
      <c r="G29" s="310"/>
      <c r="H29" s="311"/>
      <c r="I29" s="312"/>
      <c r="J29" s="312"/>
      <c r="K29" s="312"/>
    </row>
    <row r="30" spans="1:11" ht="23.25" customHeight="1">
      <c r="A30" s="498" t="s">
        <v>47</v>
      </c>
      <c r="B30" s="499"/>
      <c r="C30" s="425">
        <f t="shared" si="1"/>
        <v>25</v>
      </c>
      <c r="D30" s="335">
        <v>5</v>
      </c>
      <c r="E30" s="332">
        <v>2</v>
      </c>
      <c r="F30" s="333">
        <v>4</v>
      </c>
      <c r="G30" s="332">
        <v>1</v>
      </c>
      <c r="H30" s="332">
        <v>0</v>
      </c>
      <c r="I30" s="334">
        <v>4</v>
      </c>
      <c r="J30" s="334">
        <v>5</v>
      </c>
      <c r="K30" s="334">
        <v>4</v>
      </c>
    </row>
    <row r="31" spans="1:11" ht="23.25" customHeight="1">
      <c r="A31" s="498" t="s">
        <v>48</v>
      </c>
      <c r="B31" s="499"/>
      <c r="C31" s="425">
        <f t="shared" si="1"/>
        <v>7</v>
      </c>
      <c r="D31" s="335">
        <v>4</v>
      </c>
      <c r="E31" s="332"/>
      <c r="F31" s="332"/>
      <c r="G31" s="332">
        <v>1</v>
      </c>
      <c r="H31" s="332">
        <v>0</v>
      </c>
      <c r="I31" s="334">
        <v>1</v>
      </c>
      <c r="J31" s="334">
        <v>1</v>
      </c>
      <c r="K31" s="334"/>
    </row>
    <row r="32" spans="1:11" ht="23.25" customHeight="1">
      <c r="A32" s="498" t="s">
        <v>49</v>
      </c>
      <c r="B32" s="499"/>
      <c r="C32" s="425">
        <f t="shared" si="1"/>
        <v>25</v>
      </c>
      <c r="D32" s="335">
        <v>2</v>
      </c>
      <c r="E32" s="332">
        <v>3</v>
      </c>
      <c r="F32" s="332">
        <v>4</v>
      </c>
      <c r="G32" s="332">
        <v>4</v>
      </c>
      <c r="H32" s="332">
        <v>1</v>
      </c>
      <c r="I32" s="332">
        <v>2</v>
      </c>
      <c r="J32" s="334">
        <v>4</v>
      </c>
      <c r="K32" s="334">
        <v>5</v>
      </c>
    </row>
    <row r="33" spans="1:11" ht="23.25" customHeight="1">
      <c r="A33" s="500" t="s">
        <v>29</v>
      </c>
      <c r="B33" s="501"/>
      <c r="C33" s="426">
        <f t="shared" si="1"/>
        <v>0</v>
      </c>
      <c r="D33" s="332"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4">
        <v>0</v>
      </c>
    </row>
    <row r="34" spans="1:11" ht="23.25" customHeight="1">
      <c r="A34" s="498" t="s">
        <v>50</v>
      </c>
      <c r="B34" s="499"/>
      <c r="C34" s="425">
        <f t="shared" si="1"/>
        <v>334</v>
      </c>
      <c r="D34" s="336">
        <v>60</v>
      </c>
      <c r="E34" s="332">
        <v>45</v>
      </c>
      <c r="F34" s="333">
        <v>33</v>
      </c>
      <c r="G34" s="332">
        <v>77</v>
      </c>
      <c r="H34" s="333">
        <v>20</v>
      </c>
      <c r="I34" s="334">
        <v>36</v>
      </c>
      <c r="J34" s="334">
        <v>37</v>
      </c>
      <c r="K34" s="334">
        <v>26</v>
      </c>
    </row>
    <row r="35" spans="1:11" ht="23.25" customHeight="1">
      <c r="A35" s="179"/>
      <c r="B35" s="201"/>
      <c r="C35" s="310"/>
      <c r="D35" s="313"/>
      <c r="E35" s="310"/>
      <c r="F35" s="311"/>
      <c r="G35" s="310"/>
      <c r="H35" s="311"/>
      <c r="I35" s="312"/>
      <c r="J35" s="312"/>
      <c r="K35" s="312"/>
    </row>
    <row r="36" spans="1:11" ht="23.25" customHeight="1">
      <c r="A36" s="498" t="s">
        <v>51</v>
      </c>
      <c r="B36" s="499"/>
      <c r="C36" s="425">
        <f t="shared" si="1"/>
        <v>66</v>
      </c>
      <c r="D36" s="335">
        <v>15</v>
      </c>
      <c r="E36" s="332">
        <v>5</v>
      </c>
      <c r="F36" s="333">
        <v>5</v>
      </c>
      <c r="G36" s="332">
        <v>17</v>
      </c>
      <c r="H36" s="333">
        <v>1</v>
      </c>
      <c r="I36" s="334">
        <v>5</v>
      </c>
      <c r="J36" s="334">
        <v>4</v>
      </c>
      <c r="K36" s="334">
        <v>14</v>
      </c>
    </row>
    <row r="37" spans="1:11" ht="23.25" customHeight="1">
      <c r="A37" s="498" t="s">
        <v>52</v>
      </c>
      <c r="B37" s="499"/>
      <c r="C37" s="425">
        <f t="shared" si="1"/>
        <v>32</v>
      </c>
      <c r="D37" s="335">
        <v>7</v>
      </c>
      <c r="E37" s="332">
        <v>2</v>
      </c>
      <c r="F37" s="333">
        <v>5</v>
      </c>
      <c r="G37" s="332">
        <v>5</v>
      </c>
      <c r="H37" s="333">
        <v>3</v>
      </c>
      <c r="I37" s="334">
        <v>2</v>
      </c>
      <c r="J37" s="334">
        <v>2</v>
      </c>
      <c r="K37" s="334">
        <v>6</v>
      </c>
    </row>
    <row r="38" spans="1:11" ht="23.25" customHeight="1">
      <c r="A38" s="498" t="s">
        <v>53</v>
      </c>
      <c r="B38" s="499"/>
      <c r="C38" s="425">
        <f t="shared" si="1"/>
        <v>88</v>
      </c>
      <c r="D38" s="335">
        <v>11</v>
      </c>
      <c r="E38" s="332">
        <v>7</v>
      </c>
      <c r="F38" s="333">
        <v>11</v>
      </c>
      <c r="G38" s="332">
        <v>35</v>
      </c>
      <c r="H38" s="333">
        <v>7</v>
      </c>
      <c r="I38" s="334">
        <v>5</v>
      </c>
      <c r="J38" s="334">
        <v>7</v>
      </c>
      <c r="K38" s="334">
        <v>5</v>
      </c>
    </row>
    <row r="39" spans="1:11" ht="23.25" customHeight="1">
      <c r="A39" s="498" t="s">
        <v>54</v>
      </c>
      <c r="B39" s="499"/>
      <c r="C39" s="425">
        <f t="shared" si="1"/>
        <v>248</v>
      </c>
      <c r="D39" s="335">
        <v>58</v>
      </c>
      <c r="E39" s="332">
        <v>32</v>
      </c>
      <c r="F39" s="333">
        <v>17</v>
      </c>
      <c r="G39" s="332">
        <v>40</v>
      </c>
      <c r="H39" s="333">
        <v>12</v>
      </c>
      <c r="I39" s="334">
        <v>33</v>
      </c>
      <c r="J39" s="334">
        <v>38</v>
      </c>
      <c r="K39" s="334">
        <v>18</v>
      </c>
    </row>
    <row r="40" spans="1:11" ht="23.25" customHeight="1">
      <c r="A40" s="498" t="s">
        <v>55</v>
      </c>
      <c r="B40" s="499"/>
      <c r="C40" s="425">
        <f t="shared" si="1"/>
        <v>40</v>
      </c>
      <c r="D40" s="335">
        <v>15</v>
      </c>
      <c r="E40" s="332">
        <v>1</v>
      </c>
      <c r="F40" s="333">
        <v>7</v>
      </c>
      <c r="G40" s="332">
        <v>8</v>
      </c>
      <c r="H40" s="332">
        <v>1</v>
      </c>
      <c r="I40" s="334">
        <v>2</v>
      </c>
      <c r="J40" s="334">
        <v>2</v>
      </c>
      <c r="K40" s="334">
        <v>4</v>
      </c>
    </row>
    <row r="41" spans="1:12" ht="23.25" customHeight="1">
      <c r="A41" s="179"/>
      <c r="B41" s="201"/>
      <c r="C41" s="310"/>
      <c r="D41" s="313"/>
      <c r="E41" s="310"/>
      <c r="F41" s="311"/>
      <c r="G41" s="310"/>
      <c r="H41" s="311"/>
      <c r="I41" s="312"/>
      <c r="J41" s="312"/>
      <c r="K41" s="312"/>
      <c r="L41" s="37"/>
    </row>
    <row r="42" spans="1:11" ht="23.25" customHeight="1">
      <c r="A42" s="498" t="s">
        <v>56</v>
      </c>
      <c r="B42" s="499"/>
      <c r="C42" s="425">
        <f t="shared" si="1"/>
        <v>419</v>
      </c>
      <c r="D42" s="336">
        <v>53</v>
      </c>
      <c r="E42" s="332">
        <v>46</v>
      </c>
      <c r="F42" s="333">
        <v>41</v>
      </c>
      <c r="G42" s="332">
        <v>156</v>
      </c>
      <c r="H42" s="333">
        <v>41</v>
      </c>
      <c r="I42" s="334">
        <v>18</v>
      </c>
      <c r="J42" s="334">
        <v>32</v>
      </c>
      <c r="K42" s="334">
        <v>32</v>
      </c>
    </row>
    <row r="43" spans="1:11" ht="23.25" customHeight="1">
      <c r="A43" s="498" t="s">
        <v>57</v>
      </c>
      <c r="B43" s="499"/>
      <c r="C43" s="425">
        <f t="shared" si="1"/>
        <v>864</v>
      </c>
      <c r="D43" s="336">
        <v>180</v>
      </c>
      <c r="E43" s="332">
        <v>65</v>
      </c>
      <c r="F43" s="333">
        <v>80</v>
      </c>
      <c r="G43" s="332">
        <v>104</v>
      </c>
      <c r="H43" s="333">
        <v>29</v>
      </c>
      <c r="I43" s="334">
        <v>108</v>
      </c>
      <c r="J43" s="334">
        <v>83</v>
      </c>
      <c r="K43" s="334">
        <v>215</v>
      </c>
    </row>
    <row r="44" spans="1:11" ht="36.75" customHeight="1">
      <c r="A44" s="513" t="s">
        <v>288</v>
      </c>
      <c r="B44" s="514"/>
      <c r="C44" s="427">
        <f t="shared" si="1"/>
        <v>36</v>
      </c>
      <c r="D44" s="337">
        <v>6</v>
      </c>
      <c r="E44" s="337">
        <v>1</v>
      </c>
      <c r="F44" s="337">
        <v>1</v>
      </c>
      <c r="G44" s="337">
        <v>1</v>
      </c>
      <c r="H44" s="337">
        <v>0</v>
      </c>
      <c r="I44" s="337">
        <v>6</v>
      </c>
      <c r="J44" s="337">
        <v>10</v>
      </c>
      <c r="K44" s="338">
        <v>11</v>
      </c>
    </row>
    <row r="45" spans="1:11" ht="23.25" customHeight="1">
      <c r="A45" s="498" t="s">
        <v>58</v>
      </c>
      <c r="B45" s="499"/>
      <c r="C45" s="426">
        <f t="shared" si="1"/>
        <v>0</v>
      </c>
      <c r="D45" s="332">
        <v>0</v>
      </c>
      <c r="E45" s="332">
        <v>0</v>
      </c>
      <c r="F45" s="332">
        <v>0</v>
      </c>
      <c r="G45" s="332">
        <v>0</v>
      </c>
      <c r="H45" s="332">
        <v>0</v>
      </c>
      <c r="I45" s="332">
        <v>0</v>
      </c>
      <c r="J45" s="332">
        <v>0</v>
      </c>
      <c r="K45" s="334">
        <v>0</v>
      </c>
    </row>
    <row r="46" spans="1:11" ht="23.25" customHeight="1">
      <c r="A46" s="498" t="s">
        <v>59</v>
      </c>
      <c r="B46" s="499"/>
      <c r="C46" s="425">
        <f t="shared" si="1"/>
        <v>72</v>
      </c>
      <c r="D46" s="336">
        <v>23</v>
      </c>
      <c r="E46" s="332">
        <v>10</v>
      </c>
      <c r="F46" s="333">
        <v>9</v>
      </c>
      <c r="G46" s="332">
        <v>12</v>
      </c>
      <c r="H46" s="333">
        <v>2</v>
      </c>
      <c r="I46" s="334">
        <v>4</v>
      </c>
      <c r="J46" s="334">
        <v>5</v>
      </c>
      <c r="K46" s="334">
        <v>7</v>
      </c>
    </row>
    <row r="47" spans="1:12" ht="23.25" customHeight="1">
      <c r="A47" s="179"/>
      <c r="B47" s="201"/>
      <c r="C47" s="310"/>
      <c r="D47" s="313"/>
      <c r="E47" s="310"/>
      <c r="F47" s="311"/>
      <c r="G47" s="310"/>
      <c r="H47" s="311"/>
      <c r="I47" s="312"/>
      <c r="J47" s="312"/>
      <c r="K47" s="312"/>
      <c r="L47" s="37"/>
    </row>
    <row r="48" spans="1:11" ht="23.25" customHeight="1">
      <c r="A48" s="498" t="s">
        <v>60</v>
      </c>
      <c r="B48" s="499"/>
      <c r="C48" s="425">
        <f t="shared" si="1"/>
        <v>29</v>
      </c>
      <c r="D48" s="336">
        <v>6</v>
      </c>
      <c r="E48" s="332">
        <v>0</v>
      </c>
      <c r="F48" s="333">
        <v>0</v>
      </c>
      <c r="G48" s="332">
        <v>6</v>
      </c>
      <c r="H48" s="332">
        <v>0</v>
      </c>
      <c r="I48" s="334">
        <v>2</v>
      </c>
      <c r="J48" s="334">
        <v>2</v>
      </c>
      <c r="K48" s="334">
        <v>13</v>
      </c>
    </row>
    <row r="49" spans="1:11" ht="23.25" customHeight="1" thickBot="1">
      <c r="A49" s="511" t="s">
        <v>61</v>
      </c>
      <c r="B49" s="512"/>
      <c r="C49" s="428">
        <f t="shared" si="1"/>
        <v>71</v>
      </c>
      <c r="D49" s="339">
        <v>13</v>
      </c>
      <c r="E49" s="340">
        <v>11</v>
      </c>
      <c r="F49" s="341">
        <v>3</v>
      </c>
      <c r="G49" s="340">
        <v>12</v>
      </c>
      <c r="H49" s="340">
        <v>0</v>
      </c>
      <c r="I49" s="342">
        <v>12</v>
      </c>
      <c r="J49" s="342">
        <v>11</v>
      </c>
      <c r="K49" s="342">
        <v>9</v>
      </c>
    </row>
    <row r="50" ht="17.25" customHeight="1">
      <c r="K50" s="217" t="s">
        <v>201</v>
      </c>
    </row>
    <row r="51" spans="3:11" ht="17.25" customHeight="1">
      <c r="C51" s="6"/>
      <c r="D51" s="6"/>
      <c r="E51" s="6"/>
      <c r="F51" s="6"/>
      <c r="G51" s="6"/>
      <c r="H51" s="6"/>
      <c r="I51" s="6"/>
      <c r="J51" s="6"/>
      <c r="K51" s="6"/>
    </row>
  </sheetData>
  <sheetProtection/>
  <mergeCells count="37">
    <mergeCell ref="A48:B48"/>
    <mergeCell ref="A40:B40"/>
    <mergeCell ref="A27:B27"/>
    <mergeCell ref="A42:B42"/>
    <mergeCell ref="A34:B34"/>
    <mergeCell ref="A36:B36"/>
    <mergeCell ref="A37:B37"/>
    <mergeCell ref="A38:B38"/>
    <mergeCell ref="A28:B28"/>
    <mergeCell ref="A30:B30"/>
    <mergeCell ref="A12:B12"/>
    <mergeCell ref="A6:A9"/>
    <mergeCell ref="A49:B49"/>
    <mergeCell ref="A44:B44"/>
    <mergeCell ref="A45:B45"/>
    <mergeCell ref="A46:B46"/>
    <mergeCell ref="A43:B43"/>
    <mergeCell ref="A22:B22"/>
    <mergeCell ref="A24:B24"/>
    <mergeCell ref="A39:B39"/>
    <mergeCell ref="A3:B3"/>
    <mergeCell ref="A4:B4"/>
    <mergeCell ref="A5:B5"/>
    <mergeCell ref="A10:B10"/>
    <mergeCell ref="A18:B18"/>
    <mergeCell ref="A19:B19"/>
    <mergeCell ref="A13:B13"/>
    <mergeCell ref="A14:B14"/>
    <mergeCell ref="A15:B15"/>
    <mergeCell ref="A16:B16"/>
    <mergeCell ref="A20:B20"/>
    <mergeCell ref="A33:B33"/>
    <mergeCell ref="A25:B25"/>
    <mergeCell ref="A26:B26"/>
    <mergeCell ref="A21:B21"/>
    <mergeCell ref="A31:B31"/>
    <mergeCell ref="A32:B32"/>
  </mergeCells>
  <printOptions/>
  <pageMargins left="0.7874015748031497" right="0.7874015748031497" top="0.984251968503937" bottom="0.8661417322834646" header="0.5118110236220472" footer="0.5118110236220472"/>
  <pageSetup firstPageNumber="231" useFirstPageNumber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90" zoomScaleSheetLayoutView="90" zoomScalePageLayoutView="0" workbookViewId="0" topLeftCell="A1">
      <selection activeCell="P22" sqref="P22"/>
    </sheetView>
  </sheetViews>
  <sheetFormatPr defaultColWidth="9.00390625" defaultRowHeight="13.5"/>
  <cols>
    <col min="1" max="1" width="3.25390625" style="1" customWidth="1"/>
    <col min="2" max="2" width="21.875" style="1" customWidth="1"/>
    <col min="3" max="4" width="8.625" style="1" customWidth="1"/>
    <col min="5" max="5" width="8.875" style="1" hidden="1" customWidth="1"/>
    <col min="6" max="6" width="11.50390625" style="1" hidden="1" customWidth="1"/>
    <col min="7" max="9" width="8.625" style="1" customWidth="1"/>
    <col min="10" max="14" width="8.625" style="18" customWidth="1"/>
    <col min="15" max="15" width="8.625" style="277" customWidth="1"/>
    <col min="16" max="16" width="8.625" style="18" customWidth="1"/>
    <col min="17" max="17" width="8.625" style="1" customWidth="1"/>
    <col min="18" max="16384" width="9.00390625" style="1" customWidth="1"/>
  </cols>
  <sheetData>
    <row r="1" ht="21" customHeight="1">
      <c r="A1" s="10" t="s">
        <v>206</v>
      </c>
    </row>
    <row r="2" spans="1:10" ht="16.5" customHeight="1" thickBot="1">
      <c r="A2" s="2"/>
      <c r="B2" s="2" t="s">
        <v>86</v>
      </c>
      <c r="C2" s="2"/>
      <c r="D2" s="2"/>
      <c r="E2" s="2"/>
      <c r="F2" s="2"/>
      <c r="G2" s="2"/>
      <c r="H2" s="2"/>
      <c r="I2" s="2"/>
      <c r="J2" s="5" t="s">
        <v>299</v>
      </c>
    </row>
    <row r="3" spans="1:16" s="8" customFormat="1" ht="32.25" customHeight="1">
      <c r="A3" s="520" t="s">
        <v>112</v>
      </c>
      <c r="B3" s="521"/>
      <c r="C3" s="515" t="s">
        <v>92</v>
      </c>
      <c r="D3" s="516"/>
      <c r="E3" s="528" t="s">
        <v>87</v>
      </c>
      <c r="F3" s="528"/>
      <c r="G3" s="515" t="s">
        <v>281</v>
      </c>
      <c r="H3" s="516"/>
      <c r="I3" s="517" t="s">
        <v>91</v>
      </c>
      <c r="J3" s="517"/>
      <c r="K3" s="30"/>
      <c r="L3" s="30"/>
      <c r="M3" s="30"/>
      <c r="N3" s="30"/>
      <c r="O3" s="293"/>
      <c r="P3" s="30"/>
    </row>
    <row r="4" spans="1:10" ht="21" customHeight="1">
      <c r="A4" s="531" t="s">
        <v>101</v>
      </c>
      <c r="B4" s="532"/>
      <c r="C4" s="526">
        <f>SUM(C6:D13)</f>
        <v>44064</v>
      </c>
      <c r="D4" s="527"/>
      <c r="E4" s="429"/>
      <c r="F4" s="430">
        <f>SUM(F6:F13)</f>
        <v>0</v>
      </c>
      <c r="G4" s="526">
        <f>SUM(G6:H13)</f>
        <v>19766</v>
      </c>
      <c r="H4" s="527"/>
      <c r="I4" s="431"/>
      <c r="J4" s="432">
        <f>G4/C4*100</f>
        <v>44.85748002904866</v>
      </c>
    </row>
    <row r="5" spans="1:12" ht="21" customHeight="1">
      <c r="A5" s="87"/>
      <c r="B5" s="87"/>
      <c r="C5" s="230"/>
      <c r="D5" s="231"/>
      <c r="E5" s="232"/>
      <c r="F5" s="233"/>
      <c r="G5" s="234"/>
      <c r="H5" s="231"/>
      <c r="I5" s="235"/>
      <c r="J5" s="236"/>
      <c r="L5" s="277"/>
    </row>
    <row r="6" spans="1:12" ht="21" customHeight="1">
      <c r="A6" s="522" t="s">
        <v>102</v>
      </c>
      <c r="B6" s="523"/>
      <c r="C6" s="524">
        <v>9855</v>
      </c>
      <c r="D6" s="525"/>
      <c r="E6" s="343"/>
      <c r="F6" s="344"/>
      <c r="G6" s="524">
        <v>3283</v>
      </c>
      <c r="H6" s="525"/>
      <c r="I6" s="235"/>
      <c r="J6" s="432">
        <f aca="true" t="shared" si="0" ref="J6:J13">G6/C6*100</f>
        <v>33.31303906646372</v>
      </c>
      <c r="L6" s="275"/>
    </row>
    <row r="7" spans="1:12" ht="21" customHeight="1">
      <c r="A7" s="522" t="s">
        <v>103</v>
      </c>
      <c r="B7" s="523"/>
      <c r="C7" s="524">
        <v>4222</v>
      </c>
      <c r="D7" s="525"/>
      <c r="E7" s="343"/>
      <c r="F7" s="344"/>
      <c r="G7" s="524">
        <v>2151</v>
      </c>
      <c r="H7" s="525"/>
      <c r="I7" s="235"/>
      <c r="J7" s="432">
        <f t="shared" si="0"/>
        <v>50.94741828517291</v>
      </c>
      <c r="L7" s="100"/>
    </row>
    <row r="8" spans="1:12" ht="21" customHeight="1">
      <c r="A8" s="522" t="s">
        <v>104</v>
      </c>
      <c r="B8" s="523"/>
      <c r="C8" s="524">
        <v>3333</v>
      </c>
      <c r="D8" s="525"/>
      <c r="E8" s="343"/>
      <c r="F8" s="344"/>
      <c r="G8" s="524">
        <v>1838</v>
      </c>
      <c r="H8" s="525"/>
      <c r="I8" s="235"/>
      <c r="J8" s="432">
        <f t="shared" si="0"/>
        <v>55.14551455145514</v>
      </c>
      <c r="L8" s="100"/>
    </row>
    <row r="9" spans="1:12" ht="21" customHeight="1">
      <c r="A9" s="522" t="s">
        <v>105</v>
      </c>
      <c r="B9" s="523"/>
      <c r="C9" s="524">
        <v>6712</v>
      </c>
      <c r="D9" s="525"/>
      <c r="E9" s="343"/>
      <c r="F9" s="344"/>
      <c r="G9" s="524">
        <v>3342</v>
      </c>
      <c r="H9" s="525"/>
      <c r="I9" s="235"/>
      <c r="J9" s="432">
        <f t="shared" si="0"/>
        <v>49.79141835518474</v>
      </c>
      <c r="L9" s="275"/>
    </row>
    <row r="10" spans="1:12" ht="21" customHeight="1">
      <c r="A10" s="522" t="s">
        <v>78</v>
      </c>
      <c r="B10" s="523"/>
      <c r="C10" s="524">
        <v>1234</v>
      </c>
      <c r="D10" s="525"/>
      <c r="E10" s="343"/>
      <c r="F10" s="344"/>
      <c r="G10" s="524">
        <v>635</v>
      </c>
      <c r="H10" s="525"/>
      <c r="I10" s="235"/>
      <c r="J10" s="432">
        <f t="shared" si="0"/>
        <v>51.45867098865479</v>
      </c>
      <c r="L10" s="277"/>
    </row>
    <row r="11" spans="1:10" ht="21" customHeight="1">
      <c r="A11" s="522" t="s">
        <v>106</v>
      </c>
      <c r="B11" s="523"/>
      <c r="C11" s="524">
        <v>4183</v>
      </c>
      <c r="D11" s="525"/>
      <c r="E11" s="343"/>
      <c r="F11" s="344"/>
      <c r="G11" s="524">
        <v>1132</v>
      </c>
      <c r="H11" s="525"/>
      <c r="I11" s="235"/>
      <c r="J11" s="432">
        <f t="shared" si="0"/>
        <v>27.061917284245755</v>
      </c>
    </row>
    <row r="12" spans="1:10" ht="21" customHeight="1">
      <c r="A12" s="522" t="s">
        <v>237</v>
      </c>
      <c r="B12" s="523"/>
      <c r="C12" s="524">
        <v>6677</v>
      </c>
      <c r="D12" s="525"/>
      <c r="E12" s="345"/>
      <c r="F12" s="344"/>
      <c r="G12" s="524">
        <v>4015</v>
      </c>
      <c r="H12" s="525"/>
      <c r="I12" s="237"/>
      <c r="J12" s="432">
        <f t="shared" si="0"/>
        <v>60.13179571663921</v>
      </c>
    </row>
    <row r="13" spans="1:10" ht="21" customHeight="1" thickBot="1">
      <c r="A13" s="533" t="s">
        <v>90</v>
      </c>
      <c r="B13" s="534"/>
      <c r="C13" s="529">
        <v>7848</v>
      </c>
      <c r="D13" s="530"/>
      <c r="E13" s="346"/>
      <c r="F13" s="347"/>
      <c r="G13" s="529">
        <v>3370</v>
      </c>
      <c r="H13" s="530"/>
      <c r="I13" s="238"/>
      <c r="J13" s="433">
        <f t="shared" si="0"/>
        <v>42.94087665647299</v>
      </c>
    </row>
    <row r="14" ht="13.5">
      <c r="J14" s="35" t="s">
        <v>201</v>
      </c>
    </row>
    <row r="15" ht="13.5">
      <c r="J15" s="35"/>
    </row>
    <row r="16" ht="13.5">
      <c r="J16" s="35"/>
    </row>
    <row r="17" ht="13.5">
      <c r="J17" s="35"/>
    </row>
    <row r="18" ht="13.5">
      <c r="J18" s="35"/>
    </row>
    <row r="19" spans="1:10" ht="14.25">
      <c r="A19" s="77" t="s">
        <v>282</v>
      </c>
      <c r="J19" s="35"/>
    </row>
    <row r="20" spans="1:10" ht="13.5" customHeight="1" thickBot="1">
      <c r="A20" s="2"/>
      <c r="B20" s="14"/>
      <c r="C20" s="2"/>
      <c r="D20" s="2"/>
      <c r="E20" s="2"/>
      <c r="F20" s="2"/>
      <c r="G20" s="2"/>
      <c r="H20" s="2"/>
      <c r="I20" s="3"/>
      <c r="J20" s="15"/>
    </row>
    <row r="21" spans="1:16" s="8" customFormat="1" ht="32.25" customHeight="1">
      <c r="A21" s="517" t="s">
        <v>231</v>
      </c>
      <c r="B21" s="516"/>
      <c r="C21" s="219" t="s">
        <v>290</v>
      </c>
      <c r="D21" s="177">
        <v>13</v>
      </c>
      <c r="E21" s="177"/>
      <c r="F21" s="177"/>
      <c r="G21" s="177">
        <v>14</v>
      </c>
      <c r="H21" s="178">
        <v>15</v>
      </c>
      <c r="I21" s="178">
        <v>16</v>
      </c>
      <c r="J21" s="178">
        <v>17</v>
      </c>
      <c r="K21" s="178">
        <v>18</v>
      </c>
      <c r="L21" s="178">
        <v>19</v>
      </c>
      <c r="M21" s="178">
        <v>20</v>
      </c>
      <c r="N21" s="178">
        <v>21</v>
      </c>
      <c r="O21" s="294">
        <v>22</v>
      </c>
      <c r="P21" s="178">
        <v>23</v>
      </c>
    </row>
    <row r="22" spans="1:16" ht="21" customHeight="1">
      <c r="A22" s="518" t="s">
        <v>30</v>
      </c>
      <c r="B22" s="519"/>
      <c r="C22" s="224">
        <f>SUM(C24:C42)</f>
        <v>32872</v>
      </c>
      <c r="D22" s="224">
        <f>SUM(D24:D42)</f>
        <v>32972</v>
      </c>
      <c r="E22" s="224"/>
      <c r="F22" s="224"/>
      <c r="G22" s="224">
        <f aca="true" t="shared" si="1" ref="G22:M22">SUM(G24:G42)</f>
        <v>32872</v>
      </c>
      <c r="H22" s="223">
        <f t="shared" si="1"/>
        <v>32664</v>
      </c>
      <c r="I22" s="296">
        <f t="shared" si="1"/>
        <v>32535</v>
      </c>
      <c r="J22" s="223">
        <f t="shared" si="1"/>
        <v>32573</v>
      </c>
      <c r="K22" s="223">
        <f t="shared" si="1"/>
        <v>32340</v>
      </c>
      <c r="L22" s="224">
        <f t="shared" si="1"/>
        <v>31702</v>
      </c>
      <c r="M22" s="224">
        <f t="shared" si="1"/>
        <v>30724</v>
      </c>
      <c r="N22" s="224">
        <f>SUM(N24:N42)</f>
        <v>30047</v>
      </c>
      <c r="O22" s="224">
        <f>SUM(O24:O42)</f>
        <v>29563</v>
      </c>
      <c r="P22" s="434">
        <f>SUM(P24:P42)</f>
        <v>28634</v>
      </c>
    </row>
    <row r="23" spans="1:16" ht="21" customHeight="1">
      <c r="A23" s="49"/>
      <c r="B23" s="63"/>
      <c r="C23" s="220"/>
      <c r="D23" s="220"/>
      <c r="E23" s="220"/>
      <c r="F23" s="220"/>
      <c r="G23" s="220"/>
      <c r="H23" s="221"/>
      <c r="I23" s="222"/>
      <c r="J23" s="221"/>
      <c r="K23" s="221"/>
      <c r="L23" s="220"/>
      <c r="M23" s="220"/>
      <c r="N23" s="220"/>
      <c r="O23" s="224"/>
      <c r="P23" s="220"/>
    </row>
    <row r="24" spans="1:16" ht="21" customHeight="1">
      <c r="A24" s="508" t="s">
        <v>233</v>
      </c>
      <c r="B24" s="42" t="s">
        <v>226</v>
      </c>
      <c r="C24" s="220">
        <v>404</v>
      </c>
      <c r="D24" s="220">
        <v>400</v>
      </c>
      <c r="E24" s="220"/>
      <c r="F24" s="220"/>
      <c r="G24" s="220">
        <v>396</v>
      </c>
      <c r="H24" s="223">
        <v>394</v>
      </c>
      <c r="I24" s="224">
        <v>389</v>
      </c>
      <c r="J24" s="223">
        <v>385</v>
      </c>
      <c r="K24" s="223">
        <v>379</v>
      </c>
      <c r="L24" s="220">
        <v>372</v>
      </c>
      <c r="M24" s="220">
        <v>367</v>
      </c>
      <c r="N24" s="220">
        <v>359</v>
      </c>
      <c r="O24" s="224">
        <v>357</v>
      </c>
      <c r="P24" s="348">
        <v>352</v>
      </c>
    </row>
    <row r="25" spans="1:16" ht="21" customHeight="1">
      <c r="A25" s="509"/>
      <c r="B25" s="42" t="s">
        <v>227</v>
      </c>
      <c r="C25" s="220">
        <v>196</v>
      </c>
      <c r="D25" s="220">
        <v>196</v>
      </c>
      <c r="E25" s="220"/>
      <c r="F25" s="220"/>
      <c r="G25" s="220">
        <v>192</v>
      </c>
      <c r="H25" s="223">
        <v>183</v>
      </c>
      <c r="I25" s="224">
        <v>173</v>
      </c>
      <c r="J25" s="223">
        <v>163</v>
      </c>
      <c r="K25" s="223">
        <v>160</v>
      </c>
      <c r="L25" s="220">
        <v>152</v>
      </c>
      <c r="M25" s="220">
        <v>143</v>
      </c>
      <c r="N25" s="220">
        <v>135</v>
      </c>
      <c r="O25" s="224">
        <v>129</v>
      </c>
      <c r="P25" s="348">
        <v>131</v>
      </c>
    </row>
    <row r="26" spans="1:16" ht="21" customHeight="1">
      <c r="A26" s="509"/>
      <c r="B26" s="42" t="s">
        <v>228</v>
      </c>
      <c r="C26" s="220">
        <v>157</v>
      </c>
      <c r="D26" s="220">
        <v>148</v>
      </c>
      <c r="E26" s="220"/>
      <c r="F26" s="220"/>
      <c r="G26" s="220">
        <v>146</v>
      </c>
      <c r="H26" s="223">
        <v>135</v>
      </c>
      <c r="I26" s="224">
        <v>133</v>
      </c>
      <c r="J26" s="223">
        <v>125</v>
      </c>
      <c r="K26" s="223">
        <v>113</v>
      </c>
      <c r="L26" s="220">
        <v>108</v>
      </c>
      <c r="M26" s="220">
        <v>96</v>
      </c>
      <c r="N26" s="220">
        <v>86</v>
      </c>
      <c r="O26" s="224">
        <v>112</v>
      </c>
      <c r="P26" s="348">
        <v>72</v>
      </c>
    </row>
    <row r="27" spans="1:16" ht="21" customHeight="1">
      <c r="A27" s="510"/>
      <c r="B27" s="42" t="s">
        <v>229</v>
      </c>
      <c r="C27" s="220">
        <v>547</v>
      </c>
      <c r="D27" s="220">
        <v>554</v>
      </c>
      <c r="E27" s="220"/>
      <c r="F27" s="220"/>
      <c r="G27" s="220">
        <v>559</v>
      </c>
      <c r="H27" s="223">
        <v>579</v>
      </c>
      <c r="I27" s="224">
        <v>598</v>
      </c>
      <c r="J27" s="223">
        <v>610</v>
      </c>
      <c r="K27" s="223">
        <v>615</v>
      </c>
      <c r="L27" s="220">
        <v>623</v>
      </c>
      <c r="M27" s="220">
        <v>614</v>
      </c>
      <c r="N27" s="220">
        <v>618</v>
      </c>
      <c r="O27" s="224">
        <v>599</v>
      </c>
      <c r="P27" s="348">
        <v>637</v>
      </c>
    </row>
    <row r="28" spans="1:16" ht="21" customHeight="1">
      <c r="A28" s="49"/>
      <c r="B28" s="64"/>
      <c r="C28" s="220"/>
      <c r="D28" s="220"/>
      <c r="E28" s="220"/>
      <c r="F28" s="220"/>
      <c r="G28" s="220"/>
      <c r="H28" s="221"/>
      <c r="I28" s="222"/>
      <c r="J28" s="221"/>
      <c r="K28" s="221"/>
      <c r="L28" s="220"/>
      <c r="M28" s="220"/>
      <c r="N28" s="220"/>
      <c r="O28" s="224"/>
      <c r="P28" s="348"/>
    </row>
    <row r="29" spans="1:16" ht="21" customHeight="1">
      <c r="A29" s="518" t="s">
        <v>93</v>
      </c>
      <c r="B29" s="519"/>
      <c r="C29" s="220">
        <v>923</v>
      </c>
      <c r="D29" s="220">
        <v>918</v>
      </c>
      <c r="E29" s="220"/>
      <c r="F29" s="220"/>
      <c r="G29" s="220">
        <v>893</v>
      </c>
      <c r="H29" s="223">
        <v>811</v>
      </c>
      <c r="I29" s="224">
        <v>784</v>
      </c>
      <c r="J29" s="223">
        <v>805</v>
      </c>
      <c r="K29" s="223">
        <v>758</v>
      </c>
      <c r="L29" s="220">
        <v>747</v>
      </c>
      <c r="M29" s="220">
        <v>679</v>
      </c>
      <c r="N29" s="220">
        <v>666</v>
      </c>
      <c r="O29" s="224">
        <v>657</v>
      </c>
      <c r="P29" s="348">
        <v>617</v>
      </c>
    </row>
    <row r="30" spans="1:16" ht="21" customHeight="1">
      <c r="A30" s="49"/>
      <c r="B30" s="42"/>
      <c r="C30" s="220"/>
      <c r="D30" s="220"/>
      <c r="E30" s="220"/>
      <c r="F30" s="220"/>
      <c r="G30" s="220"/>
      <c r="H30" s="221"/>
      <c r="I30" s="222"/>
      <c r="J30" s="221"/>
      <c r="K30" s="221"/>
      <c r="L30" s="220"/>
      <c r="M30" s="220"/>
      <c r="N30" s="220"/>
      <c r="O30" s="224"/>
      <c r="P30" s="224"/>
    </row>
    <row r="31" spans="1:16" ht="21" customHeight="1">
      <c r="A31" s="518" t="s">
        <v>94</v>
      </c>
      <c r="B31" s="519"/>
      <c r="C31" s="220">
        <v>2640</v>
      </c>
      <c r="D31" s="220">
        <v>2744</v>
      </c>
      <c r="E31" s="220"/>
      <c r="F31" s="220"/>
      <c r="G31" s="220">
        <v>2753</v>
      </c>
      <c r="H31" s="223">
        <v>2753</v>
      </c>
      <c r="I31" s="224">
        <v>2760</v>
      </c>
      <c r="J31" s="223">
        <v>2753</v>
      </c>
      <c r="K31" s="223">
        <v>2752</v>
      </c>
      <c r="L31" s="220">
        <v>2733</v>
      </c>
      <c r="M31" s="220">
        <v>2729</v>
      </c>
      <c r="N31" s="220">
        <v>2714</v>
      </c>
      <c r="O31" s="224">
        <v>2706</v>
      </c>
      <c r="P31" s="348">
        <v>2675</v>
      </c>
    </row>
    <row r="32" spans="1:16" ht="21" customHeight="1">
      <c r="A32" s="518" t="s">
        <v>95</v>
      </c>
      <c r="B32" s="519"/>
      <c r="C32" s="220">
        <v>3570</v>
      </c>
      <c r="D32" s="220">
        <v>3569</v>
      </c>
      <c r="E32" s="220"/>
      <c r="F32" s="220"/>
      <c r="G32" s="220">
        <v>3569</v>
      </c>
      <c r="H32" s="223">
        <v>3537</v>
      </c>
      <c r="I32" s="224">
        <v>3529</v>
      </c>
      <c r="J32" s="223">
        <v>3513</v>
      </c>
      <c r="K32" s="223">
        <v>3445</v>
      </c>
      <c r="L32" s="220">
        <v>3319</v>
      </c>
      <c r="M32" s="220">
        <v>3225</v>
      </c>
      <c r="N32" s="220">
        <v>3238</v>
      </c>
      <c r="O32" s="224">
        <v>3203</v>
      </c>
      <c r="P32" s="348">
        <v>3148</v>
      </c>
    </row>
    <row r="33" spans="1:16" ht="21" customHeight="1">
      <c r="A33" s="518" t="s">
        <v>96</v>
      </c>
      <c r="B33" s="519"/>
      <c r="C33" s="220">
        <v>2449</v>
      </c>
      <c r="D33" s="220">
        <v>2444</v>
      </c>
      <c r="E33" s="220"/>
      <c r="F33" s="220"/>
      <c r="G33" s="220">
        <v>2392</v>
      </c>
      <c r="H33" s="223">
        <v>2365</v>
      </c>
      <c r="I33" s="224">
        <v>2264</v>
      </c>
      <c r="J33" s="223">
        <v>2245</v>
      </c>
      <c r="K33" s="223">
        <v>2228</v>
      </c>
      <c r="L33" s="220">
        <v>2201</v>
      </c>
      <c r="M33" s="220">
        <v>2166</v>
      </c>
      <c r="N33" s="220">
        <v>2091</v>
      </c>
      <c r="O33" s="224">
        <v>2068</v>
      </c>
      <c r="P33" s="348">
        <v>2045</v>
      </c>
    </row>
    <row r="34" spans="1:16" ht="21" customHeight="1">
      <c r="A34" s="518" t="s">
        <v>97</v>
      </c>
      <c r="B34" s="519"/>
      <c r="C34" s="220">
        <v>9352</v>
      </c>
      <c r="D34" s="220">
        <v>9359</v>
      </c>
      <c r="E34" s="220"/>
      <c r="F34" s="220"/>
      <c r="G34" s="220">
        <v>9339</v>
      </c>
      <c r="H34" s="223">
        <v>9344</v>
      </c>
      <c r="I34" s="224">
        <v>9408</v>
      </c>
      <c r="J34" s="223">
        <v>9487</v>
      </c>
      <c r="K34" s="223">
        <v>9426</v>
      </c>
      <c r="L34" s="220">
        <v>9252</v>
      </c>
      <c r="M34" s="220">
        <v>8978</v>
      </c>
      <c r="N34" s="220">
        <v>8720</v>
      </c>
      <c r="O34" s="224">
        <v>8572</v>
      </c>
      <c r="P34" s="348">
        <v>8361</v>
      </c>
    </row>
    <row r="35" spans="1:16" ht="21" customHeight="1">
      <c r="A35" s="518" t="s">
        <v>98</v>
      </c>
      <c r="B35" s="519"/>
      <c r="C35" s="220">
        <v>8530</v>
      </c>
      <c r="D35" s="220">
        <v>8537</v>
      </c>
      <c r="E35" s="220"/>
      <c r="F35" s="220"/>
      <c r="G35" s="220">
        <v>8539</v>
      </c>
      <c r="H35" s="223">
        <v>8510</v>
      </c>
      <c r="I35" s="224">
        <v>8461</v>
      </c>
      <c r="J35" s="223">
        <v>8446</v>
      </c>
      <c r="K35" s="223">
        <v>8443</v>
      </c>
      <c r="L35" s="220">
        <v>8242</v>
      </c>
      <c r="M35" s="220">
        <v>7857</v>
      </c>
      <c r="N35" s="220">
        <v>7764</v>
      </c>
      <c r="O35" s="224">
        <v>7559</v>
      </c>
      <c r="P35" s="348">
        <v>7143</v>
      </c>
    </row>
    <row r="36" spans="1:16" ht="21" customHeight="1">
      <c r="A36" s="49"/>
      <c r="B36" s="42"/>
      <c r="C36" s="220"/>
      <c r="D36" s="220"/>
      <c r="E36" s="220"/>
      <c r="F36" s="220"/>
      <c r="G36" s="220"/>
      <c r="H36" s="221"/>
      <c r="I36" s="222"/>
      <c r="J36" s="221"/>
      <c r="K36" s="221"/>
      <c r="L36" s="220"/>
      <c r="M36" s="220"/>
      <c r="N36" s="220"/>
      <c r="O36" s="224"/>
      <c r="P36" s="224"/>
    </row>
    <row r="37" spans="1:16" ht="48.75" customHeight="1">
      <c r="A37" s="518" t="s">
        <v>230</v>
      </c>
      <c r="B37" s="519"/>
      <c r="C37" s="225">
        <v>2</v>
      </c>
      <c r="D37" s="225">
        <v>2</v>
      </c>
      <c r="E37" s="225"/>
      <c r="F37" s="225"/>
      <c r="G37" s="225">
        <v>2</v>
      </c>
      <c r="H37" s="226">
        <v>2</v>
      </c>
      <c r="I37" s="227">
        <v>2</v>
      </c>
      <c r="J37" s="226">
        <v>2</v>
      </c>
      <c r="K37" s="226">
        <v>2</v>
      </c>
      <c r="L37" s="225">
        <v>2</v>
      </c>
      <c r="M37" s="225">
        <v>4</v>
      </c>
      <c r="N37" s="225">
        <v>5</v>
      </c>
      <c r="O37" s="227">
        <v>4</v>
      </c>
      <c r="P37" s="349">
        <v>4</v>
      </c>
    </row>
    <row r="38" spans="1:16" ht="21" customHeight="1">
      <c r="A38" s="49"/>
      <c r="B38" s="42"/>
      <c r="C38" s="220"/>
      <c r="D38" s="220"/>
      <c r="E38" s="220"/>
      <c r="F38" s="220"/>
      <c r="G38" s="220"/>
      <c r="H38" s="221"/>
      <c r="I38" s="222"/>
      <c r="J38" s="221"/>
      <c r="K38" s="221"/>
      <c r="L38" s="220"/>
      <c r="M38" s="220"/>
      <c r="N38" s="220"/>
      <c r="O38" s="224"/>
      <c r="P38" s="224"/>
    </row>
    <row r="39" spans="1:16" ht="21" customHeight="1">
      <c r="A39" s="518" t="s">
        <v>99</v>
      </c>
      <c r="B39" s="519"/>
      <c r="C39" s="220">
        <v>1765</v>
      </c>
      <c r="D39" s="220">
        <v>1765</v>
      </c>
      <c r="E39" s="220"/>
      <c r="F39" s="220"/>
      <c r="G39" s="220">
        <v>1760</v>
      </c>
      <c r="H39" s="223">
        <v>1732</v>
      </c>
      <c r="I39" s="224">
        <v>1730</v>
      </c>
      <c r="J39" s="223">
        <v>1735</v>
      </c>
      <c r="K39" s="223">
        <v>1724</v>
      </c>
      <c r="L39" s="220">
        <v>1697</v>
      </c>
      <c r="M39" s="220">
        <v>1665</v>
      </c>
      <c r="N39" s="220">
        <v>1571</v>
      </c>
      <c r="O39" s="224">
        <v>1544</v>
      </c>
      <c r="P39" s="348">
        <v>1451</v>
      </c>
    </row>
    <row r="40" spans="1:16" ht="21" customHeight="1">
      <c r="A40" s="518" t="s">
        <v>100</v>
      </c>
      <c r="B40" s="519"/>
      <c r="C40" s="220">
        <v>0</v>
      </c>
      <c r="D40" s="220">
        <v>0</v>
      </c>
      <c r="E40" s="220"/>
      <c r="F40" s="220"/>
      <c r="G40" s="220">
        <v>0</v>
      </c>
      <c r="H40" s="221">
        <v>0</v>
      </c>
      <c r="I40" s="222">
        <v>0</v>
      </c>
      <c r="J40" s="221">
        <v>0</v>
      </c>
      <c r="K40" s="221">
        <v>0</v>
      </c>
      <c r="L40" s="220">
        <v>0</v>
      </c>
      <c r="M40" s="220">
        <v>0</v>
      </c>
      <c r="N40" s="220">
        <v>0</v>
      </c>
      <c r="O40" s="224">
        <v>0</v>
      </c>
      <c r="P40" s="348"/>
    </row>
    <row r="41" spans="1:16" ht="21" customHeight="1">
      <c r="A41" s="49"/>
      <c r="B41" s="42"/>
      <c r="C41" s="220"/>
      <c r="D41" s="220"/>
      <c r="E41" s="220"/>
      <c r="F41" s="220"/>
      <c r="G41" s="220"/>
      <c r="H41" s="221"/>
      <c r="I41" s="222"/>
      <c r="J41" s="221"/>
      <c r="K41" s="221"/>
      <c r="L41" s="220"/>
      <c r="M41" s="220"/>
      <c r="N41" s="220"/>
      <c r="O41" s="224"/>
      <c r="P41" s="224"/>
    </row>
    <row r="42" spans="1:16" ht="33.75" customHeight="1" thickBot="1">
      <c r="A42" s="535" t="s">
        <v>232</v>
      </c>
      <c r="B42" s="536"/>
      <c r="C42" s="228">
        <v>2337</v>
      </c>
      <c r="D42" s="229">
        <v>2336</v>
      </c>
      <c r="E42" s="229"/>
      <c r="F42" s="229"/>
      <c r="G42" s="229">
        <v>2332</v>
      </c>
      <c r="H42" s="228">
        <v>2319</v>
      </c>
      <c r="I42" s="229">
        <v>2304</v>
      </c>
      <c r="J42" s="228">
        <v>2304</v>
      </c>
      <c r="K42" s="228">
        <v>2295</v>
      </c>
      <c r="L42" s="229">
        <v>2254</v>
      </c>
      <c r="M42" s="229">
        <v>2201</v>
      </c>
      <c r="N42" s="229">
        <v>2080</v>
      </c>
      <c r="O42" s="295">
        <v>2053</v>
      </c>
      <c r="P42" s="350">
        <v>1998</v>
      </c>
    </row>
    <row r="43" spans="10:16" ht="15.75" customHeight="1">
      <c r="J43" s="1"/>
      <c r="K43" s="1"/>
      <c r="L43" s="1"/>
      <c r="M43" s="1"/>
      <c r="N43" s="1"/>
      <c r="O43" s="101"/>
      <c r="P43" s="35" t="s">
        <v>201</v>
      </c>
    </row>
    <row r="44" spans="7:16" ht="13.5">
      <c r="G44" s="18"/>
      <c r="H44" s="18"/>
      <c r="I44" s="15"/>
      <c r="L44" s="1"/>
      <c r="M44" s="1"/>
      <c r="N44" s="1"/>
      <c r="O44" s="37"/>
      <c r="P44" s="1"/>
    </row>
    <row r="45" spans="7:16" ht="13.5">
      <c r="G45" s="18"/>
      <c r="H45" s="18"/>
      <c r="I45" s="18"/>
      <c r="L45" s="1"/>
      <c r="M45" s="1"/>
      <c r="N45" s="1"/>
      <c r="O45" s="37"/>
      <c r="P45" s="1"/>
    </row>
    <row r="46" spans="7:16" ht="13.5">
      <c r="G46" s="18"/>
      <c r="H46" s="18"/>
      <c r="I46" s="18"/>
      <c r="L46" s="1"/>
      <c r="M46" s="1"/>
      <c r="N46" s="1"/>
      <c r="O46" s="37"/>
      <c r="P46" s="1"/>
    </row>
    <row r="47" spans="7:16" ht="13.5">
      <c r="G47" s="18"/>
      <c r="H47" s="18"/>
      <c r="I47" s="18"/>
      <c r="L47" s="1"/>
      <c r="M47" s="1"/>
      <c r="N47" s="1"/>
      <c r="O47" s="37"/>
      <c r="P47" s="1"/>
    </row>
    <row r="48" spans="7:16" ht="13.5">
      <c r="G48" s="18"/>
      <c r="H48" s="18"/>
      <c r="I48" s="18"/>
      <c r="L48" s="1"/>
      <c r="M48" s="1"/>
      <c r="N48" s="1"/>
      <c r="O48" s="37"/>
      <c r="P48" s="1"/>
    </row>
    <row r="49" spans="7:16" ht="13.5">
      <c r="G49" s="18"/>
      <c r="H49" s="18"/>
      <c r="I49" s="18"/>
      <c r="L49" s="1"/>
      <c r="M49" s="1"/>
      <c r="N49" s="1"/>
      <c r="O49" s="37"/>
      <c r="P49" s="1"/>
    </row>
    <row r="50" spans="7:16" ht="13.5">
      <c r="G50" s="18"/>
      <c r="H50" s="18"/>
      <c r="I50" s="18"/>
      <c r="L50" s="1"/>
      <c r="M50" s="1"/>
      <c r="N50" s="1"/>
      <c r="O50" s="37"/>
      <c r="P50" s="1"/>
    </row>
    <row r="51" spans="7:16" ht="13.5">
      <c r="G51" s="18"/>
      <c r="H51" s="18"/>
      <c r="I51" s="18"/>
      <c r="L51" s="1"/>
      <c r="M51" s="1"/>
      <c r="N51" s="1"/>
      <c r="O51" s="37"/>
      <c r="P51" s="1"/>
    </row>
  </sheetData>
  <sheetProtection/>
  <mergeCells count="45">
    <mergeCell ref="G11:H11"/>
    <mergeCell ref="G9:H9"/>
    <mergeCell ref="G10:H10"/>
    <mergeCell ref="G4:H4"/>
    <mergeCell ref="G6:H6"/>
    <mergeCell ref="G7:H7"/>
    <mergeCell ref="G8:H8"/>
    <mergeCell ref="G12:H12"/>
    <mergeCell ref="G13:H13"/>
    <mergeCell ref="A42:B42"/>
    <mergeCell ref="A9:B9"/>
    <mergeCell ref="A10:B10"/>
    <mergeCell ref="A11:B11"/>
    <mergeCell ref="A35:B35"/>
    <mergeCell ref="A37:B37"/>
    <mergeCell ref="A29:B29"/>
    <mergeCell ref="A40:B40"/>
    <mergeCell ref="A32:B32"/>
    <mergeCell ref="A33:B33"/>
    <mergeCell ref="A34:B34"/>
    <mergeCell ref="A39:B39"/>
    <mergeCell ref="C3:D3"/>
    <mergeCell ref="A8:B8"/>
    <mergeCell ref="A12:B12"/>
    <mergeCell ref="A4:B4"/>
    <mergeCell ref="A13:B13"/>
    <mergeCell ref="C11:D11"/>
    <mergeCell ref="C6:D6"/>
    <mergeCell ref="C8:D8"/>
    <mergeCell ref="C9:D9"/>
    <mergeCell ref="C10:D10"/>
    <mergeCell ref="E3:F3"/>
    <mergeCell ref="A31:B31"/>
    <mergeCell ref="C12:D12"/>
    <mergeCell ref="C13:D13"/>
    <mergeCell ref="G3:H3"/>
    <mergeCell ref="I3:J3"/>
    <mergeCell ref="A24:A27"/>
    <mergeCell ref="A21:B21"/>
    <mergeCell ref="A22:B22"/>
    <mergeCell ref="A3:B3"/>
    <mergeCell ref="A6:B6"/>
    <mergeCell ref="A7:B7"/>
    <mergeCell ref="C7:D7"/>
    <mergeCell ref="C4:D4"/>
  </mergeCells>
  <printOptions/>
  <pageMargins left="0.73" right="0.66" top="0.984251968503937" bottom="0.984251968503937" header="0.5118110236220472" footer="0.5118110236220472"/>
  <pageSetup firstPageNumber="232" useFirstPageNumber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="85" zoomScaleNormal="75" zoomScaleSheetLayoutView="85" zoomScalePageLayoutView="0" workbookViewId="0" topLeftCell="C1">
      <selection activeCell="C24" sqref="C24"/>
    </sheetView>
  </sheetViews>
  <sheetFormatPr defaultColWidth="9.00390625" defaultRowHeight="13.5"/>
  <cols>
    <col min="1" max="1" width="3.125" style="79" customWidth="1"/>
    <col min="2" max="2" width="30.75390625" style="4" customWidth="1"/>
    <col min="3" max="11" width="11.625" style="1" customWidth="1"/>
    <col min="12" max="16384" width="9.00390625" style="1" customWidth="1"/>
  </cols>
  <sheetData>
    <row r="1" ht="22.5" customHeight="1">
      <c r="A1" s="77" t="s">
        <v>283</v>
      </c>
    </row>
    <row r="2" spans="1:11" ht="14.25" thickBot="1">
      <c r="A2" s="80"/>
      <c r="B2" s="14"/>
      <c r="C2" s="2"/>
      <c r="D2" s="2"/>
      <c r="E2" s="2"/>
      <c r="F2" s="2"/>
      <c r="G2" s="13"/>
      <c r="H2" s="3"/>
      <c r="K2" s="159" t="s">
        <v>300</v>
      </c>
    </row>
    <row r="3" spans="1:11" s="8" customFormat="1" ht="24" customHeight="1">
      <c r="A3" s="537" t="s">
        <v>111</v>
      </c>
      <c r="B3" s="538"/>
      <c r="C3" s="242" t="s">
        <v>30</v>
      </c>
      <c r="D3" s="241" t="s">
        <v>81</v>
      </c>
      <c r="E3" s="242" t="s">
        <v>82</v>
      </c>
      <c r="F3" s="241" t="s">
        <v>83</v>
      </c>
      <c r="G3" s="243" t="s">
        <v>84</v>
      </c>
      <c r="H3" s="249" t="s">
        <v>78</v>
      </c>
      <c r="I3" s="250" t="s">
        <v>85</v>
      </c>
      <c r="J3" s="249" t="s">
        <v>89</v>
      </c>
      <c r="K3" s="251" t="s">
        <v>80</v>
      </c>
    </row>
    <row r="4" spans="1:11" ht="21.75" customHeight="1">
      <c r="A4" s="498" t="s">
        <v>30</v>
      </c>
      <c r="B4" s="499"/>
      <c r="C4" s="435">
        <f>SUM(C6:C24)</f>
        <v>28634</v>
      </c>
      <c r="D4" s="436">
        <f aca="true" t="shared" si="0" ref="D4:K4">SUM(D6:D24)</f>
        <v>7677</v>
      </c>
      <c r="E4" s="436">
        <f t="shared" si="0"/>
        <v>2940</v>
      </c>
      <c r="F4" s="436">
        <f t="shared" si="0"/>
        <v>3331</v>
      </c>
      <c r="G4" s="437">
        <f t="shared" si="0"/>
        <v>4745</v>
      </c>
      <c r="H4" s="436">
        <f t="shared" si="0"/>
        <v>1348</v>
      </c>
      <c r="I4" s="436">
        <f t="shared" si="0"/>
        <v>2121</v>
      </c>
      <c r="J4" s="436">
        <f t="shared" si="0"/>
        <v>2447</v>
      </c>
      <c r="K4" s="437">
        <f t="shared" si="0"/>
        <v>4025</v>
      </c>
    </row>
    <row r="5" spans="1:11" ht="14.25" customHeight="1">
      <c r="A5" s="239"/>
      <c r="B5" s="218"/>
      <c r="C5" s="298"/>
      <c r="D5" s="240"/>
      <c r="E5" s="140"/>
      <c r="F5" s="240"/>
      <c r="G5" s="145"/>
      <c r="H5" s="140"/>
      <c r="I5" s="145"/>
      <c r="J5" s="140"/>
      <c r="K5" s="145"/>
    </row>
    <row r="6" spans="1:13" ht="21.75" customHeight="1">
      <c r="A6" s="508" t="s">
        <v>291</v>
      </c>
      <c r="B6" s="180" t="s">
        <v>234</v>
      </c>
      <c r="C6" s="435">
        <f>SUM(D6:K6)</f>
        <v>352</v>
      </c>
      <c r="D6" s="351">
        <v>58</v>
      </c>
      <c r="E6" s="352">
        <v>52</v>
      </c>
      <c r="F6" s="351">
        <v>24</v>
      </c>
      <c r="G6" s="353">
        <v>54</v>
      </c>
      <c r="H6" s="352">
        <v>13</v>
      </c>
      <c r="I6" s="353">
        <v>58</v>
      </c>
      <c r="J6" s="352">
        <v>77</v>
      </c>
      <c r="K6" s="353">
        <v>16</v>
      </c>
      <c r="M6" s="100"/>
    </row>
    <row r="7" spans="1:13" ht="21.75" customHeight="1">
      <c r="A7" s="509"/>
      <c r="B7" s="180" t="s">
        <v>227</v>
      </c>
      <c r="C7" s="435">
        <f aca="true" t="shared" si="1" ref="C7:C24">SUM(D7:K7)</f>
        <v>131</v>
      </c>
      <c r="D7" s="351">
        <v>29</v>
      </c>
      <c r="E7" s="352">
        <v>8</v>
      </c>
      <c r="F7" s="351">
        <v>11</v>
      </c>
      <c r="G7" s="353">
        <v>18</v>
      </c>
      <c r="H7" s="352">
        <v>1</v>
      </c>
      <c r="I7" s="353">
        <v>17</v>
      </c>
      <c r="J7" s="352">
        <v>20</v>
      </c>
      <c r="K7" s="353">
        <v>27</v>
      </c>
      <c r="M7" s="275"/>
    </row>
    <row r="8" spans="1:13" ht="21.75" customHeight="1">
      <c r="A8" s="509"/>
      <c r="B8" s="180" t="s">
        <v>235</v>
      </c>
      <c r="C8" s="435">
        <f t="shared" si="1"/>
        <v>72</v>
      </c>
      <c r="D8" s="351">
        <v>17</v>
      </c>
      <c r="E8" s="352">
        <v>6</v>
      </c>
      <c r="F8" s="351">
        <v>4</v>
      </c>
      <c r="G8" s="353">
        <v>8</v>
      </c>
      <c r="H8" s="352">
        <v>1</v>
      </c>
      <c r="I8" s="353">
        <v>11</v>
      </c>
      <c r="J8" s="352">
        <v>13</v>
      </c>
      <c r="K8" s="353">
        <v>12</v>
      </c>
      <c r="M8" s="100"/>
    </row>
    <row r="9" spans="1:13" ht="21.75" customHeight="1">
      <c r="A9" s="510"/>
      <c r="B9" s="180" t="s">
        <v>229</v>
      </c>
      <c r="C9" s="435">
        <f t="shared" si="1"/>
        <v>637</v>
      </c>
      <c r="D9" s="351">
        <v>149</v>
      </c>
      <c r="E9" s="352">
        <v>62</v>
      </c>
      <c r="F9" s="351">
        <v>47</v>
      </c>
      <c r="G9" s="353">
        <v>118</v>
      </c>
      <c r="H9" s="352">
        <v>12</v>
      </c>
      <c r="I9" s="353">
        <v>67</v>
      </c>
      <c r="J9" s="352">
        <v>93</v>
      </c>
      <c r="K9" s="353">
        <v>89</v>
      </c>
      <c r="M9" s="100"/>
    </row>
    <row r="10" spans="1:13" s="37" customFormat="1" ht="14.25" customHeight="1">
      <c r="A10" s="252"/>
      <c r="B10" s="253"/>
      <c r="C10" s="298"/>
      <c r="D10" s="297"/>
      <c r="E10" s="298"/>
      <c r="F10" s="297"/>
      <c r="G10" s="299"/>
      <c r="H10" s="298"/>
      <c r="I10" s="299"/>
      <c r="J10" s="298"/>
      <c r="K10" s="299"/>
      <c r="M10" s="275"/>
    </row>
    <row r="11" spans="1:13" ht="21.75" customHeight="1">
      <c r="A11" s="498" t="s">
        <v>93</v>
      </c>
      <c r="B11" s="499"/>
      <c r="C11" s="435">
        <f t="shared" si="1"/>
        <v>617</v>
      </c>
      <c r="D11" s="351">
        <v>180</v>
      </c>
      <c r="E11" s="352">
        <v>178</v>
      </c>
      <c r="F11" s="351">
        <v>67</v>
      </c>
      <c r="G11" s="353">
        <v>23</v>
      </c>
      <c r="H11" s="352">
        <v>1</v>
      </c>
      <c r="I11" s="353">
        <v>110</v>
      </c>
      <c r="J11" s="352">
        <v>43</v>
      </c>
      <c r="K11" s="353">
        <v>15</v>
      </c>
      <c r="M11" s="100"/>
    </row>
    <row r="12" spans="1:11" s="37" customFormat="1" ht="16.5" customHeight="1">
      <c r="A12" s="252"/>
      <c r="B12" s="201"/>
      <c r="C12" s="298"/>
      <c r="D12" s="297"/>
      <c r="E12" s="298"/>
      <c r="F12" s="297"/>
      <c r="G12" s="299"/>
      <c r="H12" s="298"/>
      <c r="I12" s="299"/>
      <c r="J12" s="298"/>
      <c r="K12" s="299"/>
    </row>
    <row r="13" spans="1:11" ht="21.75" customHeight="1">
      <c r="A13" s="498" t="s">
        <v>94</v>
      </c>
      <c r="B13" s="499"/>
      <c r="C13" s="435">
        <f t="shared" si="1"/>
        <v>2675</v>
      </c>
      <c r="D13" s="351">
        <v>2028</v>
      </c>
      <c r="E13" s="352">
        <v>87</v>
      </c>
      <c r="F13" s="351">
        <v>143</v>
      </c>
      <c r="G13" s="353">
        <v>136</v>
      </c>
      <c r="H13" s="352">
        <v>24</v>
      </c>
      <c r="I13" s="353">
        <v>86</v>
      </c>
      <c r="J13" s="352">
        <v>22</v>
      </c>
      <c r="K13" s="353">
        <v>149</v>
      </c>
    </row>
    <row r="14" spans="1:11" ht="21.75" customHeight="1">
      <c r="A14" s="498" t="s">
        <v>95</v>
      </c>
      <c r="B14" s="499"/>
      <c r="C14" s="435">
        <f t="shared" si="1"/>
        <v>3148</v>
      </c>
      <c r="D14" s="351">
        <v>519</v>
      </c>
      <c r="E14" s="352">
        <v>271</v>
      </c>
      <c r="F14" s="351">
        <v>305</v>
      </c>
      <c r="G14" s="353">
        <v>568</v>
      </c>
      <c r="H14" s="352">
        <v>147</v>
      </c>
      <c r="I14" s="353">
        <v>225</v>
      </c>
      <c r="J14" s="352">
        <v>161</v>
      </c>
      <c r="K14" s="353">
        <v>952</v>
      </c>
    </row>
    <row r="15" spans="1:11" ht="21.75" customHeight="1">
      <c r="A15" s="498" t="s">
        <v>96</v>
      </c>
      <c r="B15" s="499"/>
      <c r="C15" s="435">
        <f t="shared" si="1"/>
        <v>2045</v>
      </c>
      <c r="D15" s="351">
        <v>424</v>
      </c>
      <c r="E15" s="352">
        <v>274</v>
      </c>
      <c r="F15" s="351">
        <v>205</v>
      </c>
      <c r="G15" s="353">
        <v>457</v>
      </c>
      <c r="H15" s="352">
        <v>121</v>
      </c>
      <c r="I15" s="353">
        <v>120</v>
      </c>
      <c r="J15" s="352">
        <v>86</v>
      </c>
      <c r="K15" s="353">
        <v>358</v>
      </c>
    </row>
    <row r="16" spans="1:11" ht="21.75" customHeight="1">
      <c r="A16" s="498" t="s">
        <v>97</v>
      </c>
      <c r="B16" s="499"/>
      <c r="C16" s="435">
        <f t="shared" si="1"/>
        <v>8361</v>
      </c>
      <c r="D16" s="351">
        <v>2406</v>
      </c>
      <c r="E16" s="352">
        <v>737</v>
      </c>
      <c r="F16" s="351">
        <v>1590</v>
      </c>
      <c r="G16" s="353">
        <v>1026</v>
      </c>
      <c r="H16" s="352">
        <v>299</v>
      </c>
      <c r="I16" s="353">
        <v>595</v>
      </c>
      <c r="J16" s="352">
        <v>711</v>
      </c>
      <c r="K16" s="353">
        <v>997</v>
      </c>
    </row>
    <row r="17" spans="1:11" ht="21.75" customHeight="1">
      <c r="A17" s="498" t="s">
        <v>98</v>
      </c>
      <c r="B17" s="499"/>
      <c r="C17" s="435">
        <f t="shared" si="1"/>
        <v>7143</v>
      </c>
      <c r="D17" s="351">
        <v>1541</v>
      </c>
      <c r="E17" s="352">
        <v>980</v>
      </c>
      <c r="F17" s="351">
        <v>670</v>
      </c>
      <c r="G17" s="353">
        <v>1164</v>
      </c>
      <c r="H17" s="352">
        <v>323</v>
      </c>
      <c r="I17" s="353">
        <v>686</v>
      </c>
      <c r="J17" s="352">
        <v>1024</v>
      </c>
      <c r="K17" s="353">
        <v>755</v>
      </c>
    </row>
    <row r="18" spans="1:11" s="37" customFormat="1" ht="15.75" customHeight="1">
      <c r="A18" s="252"/>
      <c r="B18" s="201"/>
      <c r="C18" s="298"/>
      <c r="D18" s="297"/>
      <c r="E18" s="298"/>
      <c r="F18" s="297"/>
      <c r="G18" s="299"/>
      <c r="H18" s="298"/>
      <c r="I18" s="299"/>
      <c r="J18" s="298"/>
      <c r="K18" s="299"/>
    </row>
    <row r="19" spans="1:11" ht="36.75" customHeight="1">
      <c r="A19" s="513" t="s">
        <v>236</v>
      </c>
      <c r="B19" s="514"/>
      <c r="C19" s="438">
        <f t="shared" si="1"/>
        <v>4</v>
      </c>
      <c r="D19" s="354">
        <v>2</v>
      </c>
      <c r="E19" s="355">
        <v>0</v>
      </c>
      <c r="F19" s="355">
        <v>0</v>
      </c>
      <c r="G19" s="356">
        <v>0</v>
      </c>
      <c r="H19" s="355">
        <v>0</v>
      </c>
      <c r="I19" s="355">
        <v>0</v>
      </c>
      <c r="J19" s="355">
        <v>0</v>
      </c>
      <c r="K19" s="356">
        <v>2</v>
      </c>
    </row>
    <row r="20" spans="1:11" s="37" customFormat="1" ht="14.25" customHeight="1">
      <c r="A20" s="252"/>
      <c r="B20" s="201"/>
      <c r="C20" s="298"/>
      <c r="D20" s="297"/>
      <c r="E20" s="298"/>
      <c r="F20" s="297"/>
      <c r="G20" s="299"/>
      <c r="H20" s="298"/>
      <c r="I20" s="299"/>
      <c r="J20" s="298"/>
      <c r="K20" s="299"/>
    </row>
    <row r="21" spans="1:11" ht="21.75" customHeight="1">
      <c r="A21" s="498" t="s">
        <v>99</v>
      </c>
      <c r="B21" s="499"/>
      <c r="C21" s="435">
        <f t="shared" si="1"/>
        <v>1451</v>
      </c>
      <c r="D21" s="351">
        <v>139</v>
      </c>
      <c r="E21" s="352">
        <v>76</v>
      </c>
      <c r="F21" s="351">
        <v>103</v>
      </c>
      <c r="G21" s="353">
        <v>604</v>
      </c>
      <c r="H21" s="352">
        <v>222</v>
      </c>
      <c r="I21" s="353">
        <v>37</v>
      </c>
      <c r="J21" s="352">
        <v>73</v>
      </c>
      <c r="K21" s="353">
        <v>197</v>
      </c>
    </row>
    <row r="22" spans="1:11" ht="21.75" customHeight="1">
      <c r="A22" s="498" t="s">
        <v>100</v>
      </c>
      <c r="B22" s="499"/>
      <c r="C22" s="435">
        <f t="shared" si="1"/>
        <v>0</v>
      </c>
      <c r="D22" s="357">
        <v>0</v>
      </c>
      <c r="E22" s="358">
        <v>0</v>
      </c>
      <c r="F22" s="358">
        <v>0</v>
      </c>
      <c r="G22" s="359">
        <v>0</v>
      </c>
      <c r="H22" s="358">
        <v>0</v>
      </c>
      <c r="I22" s="358">
        <v>0</v>
      </c>
      <c r="J22" s="358">
        <v>0</v>
      </c>
      <c r="K22" s="359">
        <v>0</v>
      </c>
    </row>
    <row r="23" spans="1:11" s="37" customFormat="1" ht="15.75" customHeight="1">
      <c r="A23" s="252"/>
      <c r="B23" s="201"/>
      <c r="C23" s="298"/>
      <c r="D23" s="297"/>
      <c r="E23" s="300"/>
      <c r="F23" s="297"/>
      <c r="G23" s="299"/>
      <c r="H23" s="298"/>
      <c r="I23" s="299"/>
      <c r="J23" s="298"/>
      <c r="K23" s="299"/>
    </row>
    <row r="24" spans="1:11" ht="41.25" customHeight="1" thickBot="1">
      <c r="A24" s="539" t="s">
        <v>232</v>
      </c>
      <c r="B24" s="540"/>
      <c r="C24" s="439">
        <f t="shared" si="1"/>
        <v>1998</v>
      </c>
      <c r="D24" s="360">
        <v>185</v>
      </c>
      <c r="E24" s="361">
        <v>209</v>
      </c>
      <c r="F24" s="360">
        <v>162</v>
      </c>
      <c r="G24" s="362">
        <v>569</v>
      </c>
      <c r="H24" s="361">
        <v>184</v>
      </c>
      <c r="I24" s="362">
        <v>109</v>
      </c>
      <c r="J24" s="361">
        <v>124</v>
      </c>
      <c r="K24" s="362">
        <v>456</v>
      </c>
    </row>
    <row r="25" spans="3:11" ht="17.25" customHeight="1">
      <c r="C25" s="16"/>
      <c r="D25" s="16"/>
      <c r="E25" s="16"/>
      <c r="F25" s="16"/>
      <c r="G25" s="16"/>
      <c r="K25" s="35" t="s">
        <v>201</v>
      </c>
    </row>
  </sheetData>
  <sheetProtection/>
  <mergeCells count="13">
    <mergeCell ref="A15:B15"/>
    <mergeCell ref="A21:B21"/>
    <mergeCell ref="A22:B22"/>
    <mergeCell ref="A24:B24"/>
    <mergeCell ref="A16:B16"/>
    <mergeCell ref="A17:B17"/>
    <mergeCell ref="A19:B19"/>
    <mergeCell ref="A13:B13"/>
    <mergeCell ref="A14:B14"/>
    <mergeCell ref="A6:A9"/>
    <mergeCell ref="A3:B3"/>
    <mergeCell ref="A4:B4"/>
    <mergeCell ref="A11:B11"/>
  </mergeCells>
  <printOptions/>
  <pageMargins left="0.75" right="0.79" top="1" bottom="1" header="0.512" footer="0.512"/>
  <pageSetup firstPageNumber="233" useFirstPageNumber="1"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F43" sqref="F43"/>
    </sheetView>
  </sheetViews>
  <sheetFormatPr defaultColWidth="9.00390625" defaultRowHeight="13.5"/>
  <cols>
    <col min="1" max="1" width="2.625" style="1" customWidth="1"/>
    <col min="2" max="2" width="27.75390625" style="1" customWidth="1"/>
    <col min="3" max="3" width="11.00390625" style="1" customWidth="1"/>
    <col min="4" max="5" width="13.50390625" style="1" hidden="1" customWidth="1"/>
    <col min="6" max="6" width="11.25390625" style="1" customWidth="1"/>
    <col min="7" max="7" width="9.375" style="11" customWidth="1"/>
    <col min="8" max="12" width="7.375" style="1" customWidth="1"/>
    <col min="13" max="16384" width="9.00390625" style="1" customWidth="1"/>
  </cols>
  <sheetData>
    <row r="1" ht="21" customHeight="1">
      <c r="A1" s="7" t="s">
        <v>284</v>
      </c>
    </row>
    <row r="2" spans="2:12" ht="19.5" customHeight="1" thickBot="1">
      <c r="B2" s="82"/>
      <c r="C2" s="2"/>
      <c r="D2" s="2"/>
      <c r="E2" s="2"/>
      <c r="F2" s="2"/>
      <c r="G2" s="17"/>
      <c r="H2" s="2"/>
      <c r="I2" s="2"/>
      <c r="J2" s="2"/>
      <c r="K2" s="2"/>
      <c r="L2" s="13" t="s">
        <v>299</v>
      </c>
    </row>
    <row r="3" spans="1:12" s="4" customFormat="1" ht="15" customHeight="1">
      <c r="A3" s="520" t="s">
        <v>111</v>
      </c>
      <c r="B3" s="521"/>
      <c r="C3" s="546" t="s">
        <v>113</v>
      </c>
      <c r="D3" s="61" t="s">
        <v>108</v>
      </c>
      <c r="E3" s="88" t="s">
        <v>67</v>
      </c>
      <c r="F3" s="546" t="s">
        <v>239</v>
      </c>
      <c r="G3" s="548" t="s">
        <v>91</v>
      </c>
      <c r="H3" s="541" t="s">
        <v>64</v>
      </c>
      <c r="I3" s="542"/>
      <c r="J3" s="542"/>
      <c r="K3" s="543"/>
      <c r="L3" s="544" t="s">
        <v>238</v>
      </c>
    </row>
    <row r="4" spans="1:12" s="4" customFormat="1" ht="27.75" customHeight="1">
      <c r="A4" s="549"/>
      <c r="B4" s="550"/>
      <c r="C4" s="547"/>
      <c r="D4" s="91" t="s">
        <v>109</v>
      </c>
      <c r="E4" s="92" t="s">
        <v>109</v>
      </c>
      <c r="F4" s="547"/>
      <c r="G4" s="547"/>
      <c r="H4" s="93" t="s">
        <v>204</v>
      </c>
      <c r="I4" s="94" t="s">
        <v>203</v>
      </c>
      <c r="J4" s="93" t="s">
        <v>202</v>
      </c>
      <c r="K4" s="95" t="s">
        <v>110</v>
      </c>
      <c r="L4" s="545"/>
    </row>
    <row r="5" spans="1:13" ht="21" customHeight="1">
      <c r="A5" s="518" t="s">
        <v>30</v>
      </c>
      <c r="B5" s="519"/>
      <c r="C5" s="445">
        <f>SUM(C7:C25)</f>
        <v>28634</v>
      </c>
      <c r="D5" s="444"/>
      <c r="E5" s="445">
        <f>SUM(E7:E25)</f>
        <v>68424</v>
      </c>
      <c r="F5" s="445">
        <f>SUM(F7:F25)</f>
        <v>9288</v>
      </c>
      <c r="G5" s="446">
        <f>F5/C5*100</f>
        <v>32.436963050918486</v>
      </c>
      <c r="H5" s="447">
        <f>SUM(H7:H25)</f>
        <v>0</v>
      </c>
      <c r="I5" s="447">
        <f>SUM(I7:I25)</f>
        <v>0</v>
      </c>
      <c r="J5" s="447">
        <f>SUM(J7:J25)</f>
        <v>0</v>
      </c>
      <c r="K5" s="447">
        <f>SUM(K7:K25)</f>
        <v>6</v>
      </c>
      <c r="L5" s="448">
        <f>SUM(L7:L25)</f>
        <v>0</v>
      </c>
      <c r="M5" s="3"/>
    </row>
    <row r="6" spans="1:12" ht="21" customHeight="1">
      <c r="A6" s="49"/>
      <c r="B6" s="63"/>
      <c r="C6" s="258"/>
      <c r="D6" s="259"/>
      <c r="E6" s="258"/>
      <c r="F6" s="259"/>
      <c r="G6" s="260"/>
      <c r="H6" s="70"/>
      <c r="I6" s="96"/>
      <c r="J6" s="97"/>
      <c r="K6" s="70"/>
      <c r="L6" s="71"/>
    </row>
    <row r="7" spans="1:14" ht="21" customHeight="1">
      <c r="A7" s="508" t="s">
        <v>233</v>
      </c>
      <c r="B7" s="42" t="s">
        <v>234</v>
      </c>
      <c r="C7" s="445">
        <f>'第6表'!C6</f>
        <v>352</v>
      </c>
      <c r="D7" s="83">
        <v>12</v>
      </c>
      <c r="E7" s="65">
        <f>C7*D7</f>
        <v>4224</v>
      </c>
      <c r="F7" s="363">
        <f>196+7+49</f>
        <v>252</v>
      </c>
      <c r="G7" s="446">
        <f>F7/C7*100</f>
        <v>71.5909090909091</v>
      </c>
      <c r="H7" s="364">
        <v>0</v>
      </c>
      <c r="I7" s="365">
        <v>0</v>
      </c>
      <c r="J7" s="365">
        <v>0</v>
      </c>
      <c r="K7" s="365">
        <v>0</v>
      </c>
      <c r="L7" s="366">
        <v>0</v>
      </c>
      <c r="N7" s="275"/>
    </row>
    <row r="8" spans="1:14" ht="21" customHeight="1">
      <c r="A8" s="509"/>
      <c r="B8" s="42" t="s">
        <v>241</v>
      </c>
      <c r="C8" s="445">
        <f>'第6表'!C7</f>
        <v>131</v>
      </c>
      <c r="D8" s="83">
        <v>12</v>
      </c>
      <c r="E8" s="65">
        <f>C8*D8</f>
        <v>1572</v>
      </c>
      <c r="F8" s="363">
        <v>75</v>
      </c>
      <c r="G8" s="446">
        <f>F8/C8*100</f>
        <v>57.25190839694656</v>
      </c>
      <c r="H8" s="364">
        <v>0</v>
      </c>
      <c r="I8" s="365">
        <v>0</v>
      </c>
      <c r="J8" s="365">
        <v>0</v>
      </c>
      <c r="K8" s="365">
        <v>0</v>
      </c>
      <c r="L8" s="366">
        <v>0</v>
      </c>
      <c r="N8" s="100"/>
    </row>
    <row r="9" spans="1:14" ht="21" customHeight="1">
      <c r="A9" s="509"/>
      <c r="B9" s="42" t="s">
        <v>235</v>
      </c>
      <c r="C9" s="445">
        <f>'第6表'!C8</f>
        <v>72</v>
      </c>
      <c r="D9" s="83">
        <v>12</v>
      </c>
      <c r="E9" s="65">
        <f>C9*D9</f>
        <v>864</v>
      </c>
      <c r="F9" s="363">
        <f>39+1</f>
        <v>40</v>
      </c>
      <c r="G9" s="446">
        <f>F9/C9*100</f>
        <v>55.55555555555556</v>
      </c>
      <c r="H9" s="364">
        <v>0</v>
      </c>
      <c r="I9" s="365">
        <v>0</v>
      </c>
      <c r="J9" s="365">
        <v>0</v>
      </c>
      <c r="K9" s="365">
        <v>0</v>
      </c>
      <c r="L9" s="366">
        <v>0</v>
      </c>
      <c r="N9" s="100"/>
    </row>
    <row r="10" spans="1:14" ht="21" customHeight="1">
      <c r="A10" s="510"/>
      <c r="B10" s="42" t="s">
        <v>229</v>
      </c>
      <c r="C10" s="445">
        <f>'第6表'!C9</f>
        <v>637</v>
      </c>
      <c r="D10" s="83">
        <v>12</v>
      </c>
      <c r="E10" s="65">
        <f>C10*D10</f>
        <v>7644</v>
      </c>
      <c r="F10" s="363">
        <f>250+21+40</f>
        <v>311</v>
      </c>
      <c r="G10" s="446">
        <f>F10/C10*100</f>
        <v>48.822605965463104</v>
      </c>
      <c r="H10" s="364">
        <v>0</v>
      </c>
      <c r="I10" s="365">
        <v>0</v>
      </c>
      <c r="J10" s="364">
        <v>0</v>
      </c>
      <c r="K10" s="365">
        <v>0</v>
      </c>
      <c r="L10" s="366">
        <v>0</v>
      </c>
      <c r="N10" s="275"/>
    </row>
    <row r="11" spans="1:14" s="37" customFormat="1" ht="21" customHeight="1">
      <c r="A11" s="256"/>
      <c r="B11" s="257"/>
      <c r="C11" s="258"/>
      <c r="D11" s="259"/>
      <c r="E11" s="258"/>
      <c r="F11" s="259"/>
      <c r="G11" s="260"/>
      <c r="H11" s="70"/>
      <c r="I11" s="96"/>
      <c r="J11" s="70"/>
      <c r="K11" s="96"/>
      <c r="L11" s="71"/>
      <c r="N11" s="100"/>
    </row>
    <row r="12" spans="1:12" ht="21" customHeight="1">
      <c r="A12" s="518" t="s">
        <v>93</v>
      </c>
      <c r="B12" s="519"/>
      <c r="C12" s="445">
        <f>'第6表'!C11</f>
        <v>617</v>
      </c>
      <c r="D12" s="83">
        <v>4</v>
      </c>
      <c r="E12" s="65">
        <f>C12*D12</f>
        <v>2468</v>
      </c>
      <c r="F12" s="363">
        <f>2+1</f>
        <v>3</v>
      </c>
      <c r="G12" s="446">
        <f>F12/C12*100</f>
        <v>0.48622366288492713</v>
      </c>
      <c r="H12" s="364">
        <v>0</v>
      </c>
      <c r="I12" s="365">
        <v>0</v>
      </c>
      <c r="J12" s="364">
        <v>0</v>
      </c>
      <c r="K12" s="365">
        <v>0</v>
      </c>
      <c r="L12" s="366">
        <v>0</v>
      </c>
    </row>
    <row r="13" spans="1:12" s="37" customFormat="1" ht="21" customHeight="1">
      <c r="A13" s="256"/>
      <c r="B13" s="261"/>
      <c r="C13" s="258"/>
      <c r="D13" s="259"/>
      <c r="E13" s="258"/>
      <c r="F13" s="259"/>
      <c r="G13" s="260"/>
      <c r="H13" s="70"/>
      <c r="I13" s="96"/>
      <c r="J13" s="70"/>
      <c r="K13" s="96"/>
      <c r="L13" s="71"/>
    </row>
    <row r="14" spans="1:12" ht="21" customHeight="1">
      <c r="A14" s="518" t="s">
        <v>94</v>
      </c>
      <c r="B14" s="519"/>
      <c r="C14" s="445">
        <f>'第6表'!C13</f>
        <v>2675</v>
      </c>
      <c r="D14" s="83">
        <v>2</v>
      </c>
      <c r="E14" s="65">
        <f>C14*D14</f>
        <v>5350</v>
      </c>
      <c r="F14" s="363">
        <v>701</v>
      </c>
      <c r="G14" s="446">
        <f>F14/C14*100</f>
        <v>26.20560747663551</v>
      </c>
      <c r="H14" s="364">
        <v>0</v>
      </c>
      <c r="I14" s="365">
        <v>0</v>
      </c>
      <c r="J14" s="364">
        <v>0</v>
      </c>
      <c r="K14" s="365">
        <f>3</f>
        <v>3</v>
      </c>
      <c r="L14" s="366">
        <v>0</v>
      </c>
    </row>
    <row r="15" spans="1:12" ht="21" customHeight="1">
      <c r="A15" s="518" t="s">
        <v>95</v>
      </c>
      <c r="B15" s="519"/>
      <c r="C15" s="445">
        <f>'第6表'!C14</f>
        <v>3148</v>
      </c>
      <c r="D15" s="83">
        <v>2</v>
      </c>
      <c r="E15" s="65">
        <f>C15*D15</f>
        <v>6296</v>
      </c>
      <c r="F15" s="363">
        <v>1122</v>
      </c>
      <c r="G15" s="446">
        <f>F15/C15*100</f>
        <v>35.64167725540025</v>
      </c>
      <c r="H15" s="364">
        <v>0</v>
      </c>
      <c r="I15" s="365">
        <v>0</v>
      </c>
      <c r="J15" s="364">
        <v>0</v>
      </c>
      <c r="K15" s="365">
        <f>1</f>
        <v>1</v>
      </c>
      <c r="L15" s="366">
        <v>0</v>
      </c>
    </row>
    <row r="16" spans="1:12" ht="21" customHeight="1">
      <c r="A16" s="518" t="s">
        <v>96</v>
      </c>
      <c r="B16" s="519"/>
      <c r="C16" s="445">
        <f>'第6表'!C15</f>
        <v>2045</v>
      </c>
      <c r="D16" s="83">
        <v>2</v>
      </c>
      <c r="E16" s="65">
        <f>C16*D16</f>
        <v>4090</v>
      </c>
      <c r="F16" s="363">
        <v>1164</v>
      </c>
      <c r="G16" s="446">
        <f>F16/C16*100</f>
        <v>56.919315403422985</v>
      </c>
      <c r="H16" s="364">
        <v>0</v>
      </c>
      <c r="I16" s="365">
        <v>0</v>
      </c>
      <c r="J16" s="365">
        <v>0</v>
      </c>
      <c r="K16" s="365">
        <v>0</v>
      </c>
      <c r="L16" s="366">
        <v>0</v>
      </c>
    </row>
    <row r="17" spans="1:12" ht="21" customHeight="1">
      <c r="A17" s="518" t="s">
        <v>97</v>
      </c>
      <c r="B17" s="519"/>
      <c r="C17" s="445">
        <f>'第6表'!C16</f>
        <v>8361</v>
      </c>
      <c r="D17" s="83">
        <v>2</v>
      </c>
      <c r="E17" s="65">
        <f>C17*D17</f>
        <v>16722</v>
      </c>
      <c r="F17" s="363">
        <v>1967</v>
      </c>
      <c r="G17" s="446">
        <f>F17/C17*100</f>
        <v>23.525894031814374</v>
      </c>
      <c r="H17" s="364">
        <v>0</v>
      </c>
      <c r="I17" s="365">
        <v>0</v>
      </c>
      <c r="J17" s="365">
        <v>0</v>
      </c>
      <c r="K17" s="365">
        <v>0</v>
      </c>
      <c r="L17" s="366">
        <v>0</v>
      </c>
    </row>
    <row r="18" spans="1:12" ht="21" customHeight="1">
      <c r="A18" s="518" t="s">
        <v>98</v>
      </c>
      <c r="B18" s="519"/>
      <c r="C18" s="445">
        <f>'第6表'!C17</f>
        <v>7143</v>
      </c>
      <c r="D18" s="83">
        <v>2</v>
      </c>
      <c r="E18" s="65">
        <f>C18*D18</f>
        <v>14286</v>
      </c>
      <c r="F18" s="363">
        <v>1945</v>
      </c>
      <c r="G18" s="446">
        <f>F18/C18*100</f>
        <v>27.229455410891784</v>
      </c>
      <c r="H18" s="364">
        <v>0</v>
      </c>
      <c r="I18" s="365">
        <v>0</v>
      </c>
      <c r="J18" s="365">
        <v>0</v>
      </c>
      <c r="K18" s="365">
        <f>2</f>
        <v>2</v>
      </c>
      <c r="L18" s="366">
        <v>0</v>
      </c>
    </row>
    <row r="19" spans="1:12" s="37" customFormat="1" ht="21" customHeight="1">
      <c r="A19" s="256"/>
      <c r="B19" s="261"/>
      <c r="C19" s="258"/>
      <c r="D19" s="259"/>
      <c r="E19" s="258"/>
      <c r="F19" s="259"/>
      <c r="G19" s="260"/>
      <c r="H19" s="70"/>
      <c r="I19" s="96"/>
      <c r="J19" s="97"/>
      <c r="K19" s="70"/>
      <c r="L19" s="71"/>
    </row>
    <row r="20" spans="1:12" ht="27.75" customHeight="1">
      <c r="A20" s="551" t="s">
        <v>240</v>
      </c>
      <c r="B20" s="552"/>
      <c r="C20" s="449">
        <f>'第6表'!C19</f>
        <v>4</v>
      </c>
      <c r="D20" s="83">
        <v>2</v>
      </c>
      <c r="E20" s="65">
        <f>C20*D20</f>
        <v>8</v>
      </c>
      <c r="F20" s="367">
        <v>1</v>
      </c>
      <c r="G20" s="450">
        <f>F20/C20*100</f>
        <v>25</v>
      </c>
      <c r="H20" s="368">
        <v>0</v>
      </c>
      <c r="I20" s="368">
        <v>0</v>
      </c>
      <c r="J20" s="368">
        <v>0</v>
      </c>
      <c r="K20" s="368">
        <v>0</v>
      </c>
      <c r="L20" s="369">
        <v>0</v>
      </c>
    </row>
    <row r="21" spans="1:12" s="37" customFormat="1" ht="21" customHeight="1">
      <c r="A21" s="256"/>
      <c r="B21" s="261"/>
      <c r="C21" s="258"/>
      <c r="D21" s="259"/>
      <c r="E21" s="258"/>
      <c r="F21" s="259"/>
      <c r="G21" s="260"/>
      <c r="H21" s="70"/>
      <c r="I21" s="96"/>
      <c r="J21" s="97"/>
      <c r="K21" s="70"/>
      <c r="L21" s="71"/>
    </row>
    <row r="22" spans="1:12" ht="21" customHeight="1">
      <c r="A22" s="518" t="s">
        <v>99</v>
      </c>
      <c r="B22" s="519"/>
      <c r="C22" s="445">
        <f>'第6表'!C21</f>
        <v>1451</v>
      </c>
      <c r="D22" s="83">
        <v>2</v>
      </c>
      <c r="E22" s="65">
        <f>C22*D22</f>
        <v>2902</v>
      </c>
      <c r="F22" s="363">
        <v>574</v>
      </c>
      <c r="G22" s="446">
        <f>F22/C22*100</f>
        <v>39.55892487939352</v>
      </c>
      <c r="H22" s="364">
        <v>0</v>
      </c>
      <c r="I22" s="365">
        <v>0</v>
      </c>
      <c r="J22" s="365">
        <v>0</v>
      </c>
      <c r="K22" s="365">
        <v>0</v>
      </c>
      <c r="L22" s="366">
        <v>0</v>
      </c>
    </row>
    <row r="23" spans="1:12" ht="21" customHeight="1">
      <c r="A23" s="518" t="s">
        <v>100</v>
      </c>
      <c r="B23" s="519"/>
      <c r="C23" s="451">
        <v>0</v>
      </c>
      <c r="D23" s="81">
        <v>2</v>
      </c>
      <c r="E23" s="68">
        <f>C23*D23</f>
        <v>0</v>
      </c>
      <c r="F23" s="367">
        <v>0</v>
      </c>
      <c r="G23" s="451" t="str">
        <f>IF($F23=0,"-",F23/C23*100)</f>
        <v>-</v>
      </c>
      <c r="H23" s="364">
        <v>0</v>
      </c>
      <c r="I23" s="365">
        <v>0</v>
      </c>
      <c r="J23" s="365">
        <v>0</v>
      </c>
      <c r="K23" s="365">
        <v>0</v>
      </c>
      <c r="L23" s="366">
        <v>0</v>
      </c>
    </row>
    <row r="24" spans="1:12" s="37" customFormat="1" ht="21" customHeight="1">
      <c r="A24" s="256"/>
      <c r="B24" s="261"/>
      <c r="C24" s="258"/>
      <c r="D24" s="259"/>
      <c r="E24" s="258"/>
      <c r="F24" s="259"/>
      <c r="G24" s="260"/>
      <c r="H24" s="70"/>
      <c r="I24" s="96"/>
      <c r="J24" s="97"/>
      <c r="K24" s="70"/>
      <c r="L24" s="71"/>
    </row>
    <row r="25" spans="1:12" ht="30" customHeight="1" thickBot="1">
      <c r="A25" s="553" t="s">
        <v>232</v>
      </c>
      <c r="B25" s="554"/>
      <c r="C25" s="452">
        <f>'第6表'!C24</f>
        <v>1998</v>
      </c>
      <c r="D25" s="85">
        <v>1</v>
      </c>
      <c r="E25" s="66">
        <f>C25*D25</f>
        <v>1998</v>
      </c>
      <c r="F25" s="370">
        <v>1133</v>
      </c>
      <c r="G25" s="453">
        <f>F25/C25*100</f>
        <v>56.70670670670671</v>
      </c>
      <c r="H25" s="371">
        <v>0</v>
      </c>
      <c r="I25" s="371">
        <v>0</v>
      </c>
      <c r="J25" s="371">
        <v>0</v>
      </c>
      <c r="K25" s="371">
        <v>0</v>
      </c>
      <c r="L25" s="372">
        <v>0</v>
      </c>
    </row>
    <row r="26" spans="2:12" ht="21" customHeight="1">
      <c r="B26" s="21"/>
      <c r="C26" s="15"/>
      <c r="D26" s="15"/>
      <c r="E26" s="15"/>
      <c r="F26" s="15"/>
      <c r="G26" s="22"/>
      <c r="H26" s="19"/>
      <c r="I26" s="19"/>
      <c r="J26" s="19"/>
      <c r="K26" s="19"/>
      <c r="L26" s="35" t="s">
        <v>201</v>
      </c>
    </row>
    <row r="27" spans="2:12" ht="21" customHeight="1">
      <c r="B27" s="21"/>
      <c r="C27" s="15"/>
      <c r="D27" s="15"/>
      <c r="E27" s="15"/>
      <c r="F27" s="15"/>
      <c r="G27" s="22"/>
      <c r="H27" s="19"/>
      <c r="I27" s="19"/>
      <c r="J27" s="19"/>
      <c r="K27" s="19"/>
      <c r="L27" s="35"/>
    </row>
    <row r="28" spans="2:12" ht="21" customHeight="1">
      <c r="B28" s="21"/>
      <c r="C28" s="15"/>
      <c r="D28" s="15"/>
      <c r="E28" s="15"/>
      <c r="F28" s="15"/>
      <c r="G28" s="22"/>
      <c r="H28" s="19"/>
      <c r="I28" s="19"/>
      <c r="J28" s="19"/>
      <c r="K28" s="19"/>
      <c r="L28" s="35"/>
    </row>
    <row r="29" spans="1:10" ht="17.25" customHeight="1">
      <c r="A29" s="557" t="s">
        <v>207</v>
      </c>
      <c r="B29" s="557"/>
      <c r="C29" s="557"/>
      <c r="D29" s="557"/>
      <c r="E29" s="557"/>
      <c r="F29" s="557"/>
      <c r="G29" s="557"/>
      <c r="H29" s="557"/>
      <c r="I29" s="557"/>
      <c r="J29" s="557"/>
    </row>
    <row r="30" spans="1:7" ht="21" customHeight="1" thickBot="1">
      <c r="A30" s="2"/>
      <c r="B30" s="2"/>
      <c r="C30" s="2"/>
      <c r="D30" s="2"/>
      <c r="E30" s="2"/>
      <c r="F30" s="2"/>
      <c r="G30" s="12" t="s">
        <v>299</v>
      </c>
    </row>
    <row r="31" spans="1:7" ht="21" customHeight="1">
      <c r="A31" s="555" t="s">
        <v>112</v>
      </c>
      <c r="B31" s="556"/>
      <c r="C31" s="560" t="s">
        <v>92</v>
      </c>
      <c r="D31" s="49"/>
      <c r="E31" s="49"/>
      <c r="F31" s="561" t="s">
        <v>107</v>
      </c>
      <c r="G31" s="558" t="s">
        <v>68</v>
      </c>
    </row>
    <row r="32" spans="1:7" ht="21" customHeight="1">
      <c r="A32" s="555"/>
      <c r="B32" s="556"/>
      <c r="C32" s="559"/>
      <c r="D32" s="86"/>
      <c r="E32" s="86"/>
      <c r="F32" s="562"/>
      <c r="G32" s="559"/>
    </row>
    <row r="33" spans="1:7" ht="21" customHeight="1">
      <c r="A33" s="531" t="s">
        <v>101</v>
      </c>
      <c r="B33" s="532"/>
      <c r="C33" s="440">
        <f>SUM(C35:C42)</f>
        <v>28634</v>
      </c>
      <c r="D33" s="444"/>
      <c r="E33" s="444"/>
      <c r="F33" s="445">
        <f>SUM(F34:F42)</f>
        <v>9288</v>
      </c>
      <c r="G33" s="442">
        <f>SUM((F33/C33)*100)</f>
        <v>32.436963050918486</v>
      </c>
    </row>
    <row r="34" spans="1:7" ht="21" customHeight="1">
      <c r="A34" s="87"/>
      <c r="B34" s="87"/>
      <c r="C34" s="43"/>
      <c r="D34" s="83"/>
      <c r="E34" s="83"/>
      <c r="F34" s="65"/>
      <c r="G34" s="84"/>
    </row>
    <row r="35" spans="1:7" ht="21" customHeight="1">
      <c r="A35" s="522" t="s">
        <v>102</v>
      </c>
      <c r="B35" s="523"/>
      <c r="C35" s="440">
        <f>'第6表'!D4</f>
        <v>7677</v>
      </c>
      <c r="D35" s="254"/>
      <c r="E35" s="254"/>
      <c r="F35" s="373">
        <v>1201</v>
      </c>
      <c r="G35" s="442">
        <f aca="true" t="shared" si="0" ref="G35:G42">SUM((F35/C35)*100)</f>
        <v>15.644131822326429</v>
      </c>
    </row>
    <row r="36" spans="1:7" ht="21" customHeight="1">
      <c r="A36" s="522" t="s">
        <v>103</v>
      </c>
      <c r="B36" s="523"/>
      <c r="C36" s="440">
        <f>'第6表'!E4</f>
        <v>2940</v>
      </c>
      <c r="D36" s="254"/>
      <c r="E36" s="254"/>
      <c r="F36" s="373">
        <v>903</v>
      </c>
      <c r="G36" s="442">
        <f t="shared" si="0"/>
        <v>30.714285714285715</v>
      </c>
    </row>
    <row r="37" spans="1:7" ht="21" customHeight="1">
      <c r="A37" s="522" t="s">
        <v>104</v>
      </c>
      <c r="B37" s="523"/>
      <c r="C37" s="440">
        <f>'第6表'!F4</f>
        <v>3331</v>
      </c>
      <c r="D37" s="254"/>
      <c r="E37" s="254"/>
      <c r="F37" s="373">
        <v>756</v>
      </c>
      <c r="G37" s="442">
        <f t="shared" si="0"/>
        <v>22.69588712098469</v>
      </c>
    </row>
    <row r="38" spans="1:7" ht="21" customHeight="1">
      <c r="A38" s="522" t="s">
        <v>105</v>
      </c>
      <c r="B38" s="523"/>
      <c r="C38" s="440">
        <f>'第6表'!G4</f>
        <v>4745</v>
      </c>
      <c r="D38" s="254"/>
      <c r="E38" s="254"/>
      <c r="F38" s="373">
        <v>1877</v>
      </c>
      <c r="G38" s="442">
        <f t="shared" si="0"/>
        <v>39.55742887249736</v>
      </c>
    </row>
    <row r="39" spans="1:7" ht="21" customHeight="1">
      <c r="A39" s="563" t="s">
        <v>275</v>
      </c>
      <c r="B39" s="564"/>
      <c r="C39" s="440">
        <f>'第6表'!H4</f>
        <v>1348</v>
      </c>
      <c r="D39" s="254"/>
      <c r="E39" s="254"/>
      <c r="F39" s="373">
        <v>313</v>
      </c>
      <c r="G39" s="442">
        <f t="shared" si="0"/>
        <v>23.219584569732937</v>
      </c>
    </row>
    <row r="40" spans="1:7" ht="21" customHeight="1">
      <c r="A40" s="522" t="s">
        <v>106</v>
      </c>
      <c r="B40" s="523"/>
      <c r="C40" s="440">
        <f>'第6表'!I4</f>
        <v>2121</v>
      </c>
      <c r="D40" s="254"/>
      <c r="E40" s="254"/>
      <c r="F40" s="373">
        <v>670</v>
      </c>
      <c r="G40" s="442">
        <f t="shared" si="0"/>
        <v>31.58887317303159</v>
      </c>
    </row>
    <row r="41" spans="1:7" ht="21" customHeight="1">
      <c r="A41" s="563" t="s">
        <v>273</v>
      </c>
      <c r="B41" s="564"/>
      <c r="C41" s="440">
        <f>'第6表'!J4</f>
        <v>2447</v>
      </c>
      <c r="D41" s="254"/>
      <c r="E41" s="254"/>
      <c r="F41" s="373">
        <v>1333</v>
      </c>
      <c r="G41" s="442">
        <f t="shared" si="0"/>
        <v>54.47486718430732</v>
      </c>
    </row>
    <row r="42" spans="1:7" ht="21" customHeight="1" thickBot="1">
      <c r="A42" s="565" t="s">
        <v>274</v>
      </c>
      <c r="B42" s="566"/>
      <c r="C42" s="441">
        <f>'第6表'!K4</f>
        <v>4025</v>
      </c>
      <c r="D42" s="255"/>
      <c r="E42" s="255"/>
      <c r="F42" s="374">
        <v>2235</v>
      </c>
      <c r="G42" s="443">
        <f t="shared" si="0"/>
        <v>55.52795031055901</v>
      </c>
    </row>
    <row r="43" ht="15.75" customHeight="1">
      <c r="G43" s="35" t="s">
        <v>201</v>
      </c>
    </row>
    <row r="44" ht="11.25" customHeight="1"/>
    <row r="45" spans="3:6" ht="11.25" customHeight="1">
      <c r="C45" s="37"/>
      <c r="F45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mergeCells count="32">
    <mergeCell ref="A41:B41"/>
    <mergeCell ref="A42:B42"/>
    <mergeCell ref="A35:B35"/>
    <mergeCell ref="A36:B36"/>
    <mergeCell ref="A37:B37"/>
    <mergeCell ref="A38:B38"/>
    <mergeCell ref="A39:B39"/>
    <mergeCell ref="A40:B40"/>
    <mergeCell ref="A31:B32"/>
    <mergeCell ref="A33:B33"/>
    <mergeCell ref="A29:J29"/>
    <mergeCell ref="G31:G32"/>
    <mergeCell ref="C31:C32"/>
    <mergeCell ref="F31:F32"/>
    <mergeCell ref="A14:B14"/>
    <mergeCell ref="A20:B20"/>
    <mergeCell ref="A22:B22"/>
    <mergeCell ref="A25:B25"/>
    <mergeCell ref="A23:B23"/>
    <mergeCell ref="A15:B15"/>
    <mergeCell ref="A16:B16"/>
    <mergeCell ref="A17:B17"/>
    <mergeCell ref="A18:B18"/>
    <mergeCell ref="A12:B12"/>
    <mergeCell ref="H3:K3"/>
    <mergeCell ref="L3:L4"/>
    <mergeCell ref="C3:C4"/>
    <mergeCell ref="F3:F4"/>
    <mergeCell ref="G3:G4"/>
    <mergeCell ref="A7:A10"/>
    <mergeCell ref="A3:B4"/>
    <mergeCell ref="A5:B5"/>
  </mergeCells>
  <printOptions/>
  <pageMargins left="0.7874015748031497" right="0.7874015748031497" top="0.95" bottom="0.6299212598425197" header="0.5118110236220472" footer="0.5118110236220472"/>
  <pageSetup firstPageNumber="234" useFirstPageNumber="1" horizontalDpi="300" verticalDpi="300" orientation="portrait" paperSize="9" scale="80" r:id="rId1"/>
  <ignoredErrors>
    <ignoredError sqref="G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B29" sqref="B29:J29"/>
    </sheetView>
  </sheetViews>
  <sheetFormatPr defaultColWidth="9.00390625" defaultRowHeight="13.5"/>
  <cols>
    <col min="1" max="1" width="26.25390625" style="1" customWidth="1"/>
    <col min="2" max="2" width="11.125" style="1" customWidth="1"/>
    <col min="3" max="10" width="8.00390625" style="1" customWidth="1"/>
    <col min="11" max="16384" width="9.00390625" style="1" customWidth="1"/>
  </cols>
  <sheetData>
    <row r="1" spans="1:11" ht="23.25" customHeight="1">
      <c r="A1" s="98" t="s">
        <v>114</v>
      </c>
      <c r="B1" s="37"/>
      <c r="C1" s="37"/>
      <c r="D1" s="37"/>
      <c r="E1" s="37"/>
      <c r="F1" s="50"/>
      <c r="G1" s="37"/>
      <c r="H1" s="37"/>
      <c r="I1" s="37"/>
      <c r="J1" s="37"/>
      <c r="K1" s="37"/>
    </row>
    <row r="2" spans="1:11" ht="18" customHeight="1" thickBot="1">
      <c r="A2" s="51"/>
      <c r="B2" s="51"/>
      <c r="C2" s="51"/>
      <c r="D2" s="51"/>
      <c r="E2" s="51"/>
      <c r="F2" s="99"/>
      <c r="G2" s="51"/>
      <c r="H2" s="52" t="s">
        <v>299</v>
      </c>
      <c r="I2" s="100"/>
      <c r="J2" s="37"/>
      <c r="K2" s="37"/>
    </row>
    <row r="3" spans="1:11" ht="19.5" customHeight="1">
      <c r="A3" s="573" t="s">
        <v>115</v>
      </c>
      <c r="B3" s="575" t="s">
        <v>246</v>
      </c>
      <c r="C3" s="577" t="s">
        <v>244</v>
      </c>
      <c r="D3" s="567" t="s">
        <v>116</v>
      </c>
      <c r="E3" s="568"/>
      <c r="F3" s="568"/>
      <c r="G3" s="568"/>
      <c r="H3" s="568"/>
      <c r="I3" s="37"/>
      <c r="J3" s="37"/>
      <c r="K3" s="37"/>
    </row>
    <row r="4" spans="1:11" ht="45" customHeight="1">
      <c r="A4" s="574"/>
      <c r="B4" s="576"/>
      <c r="C4" s="578"/>
      <c r="D4" s="104" t="s">
        <v>117</v>
      </c>
      <c r="E4" s="105" t="s">
        <v>118</v>
      </c>
      <c r="F4" s="106" t="s">
        <v>247</v>
      </c>
      <c r="G4" s="105" t="s">
        <v>119</v>
      </c>
      <c r="H4" s="106" t="s">
        <v>110</v>
      </c>
      <c r="I4" s="37"/>
      <c r="J4" s="37"/>
      <c r="K4" s="37"/>
    </row>
    <row r="5" spans="1:11" ht="21" customHeight="1">
      <c r="A5" s="107" t="s">
        <v>30</v>
      </c>
      <c r="B5" s="454">
        <f aca="true" t="shared" si="0" ref="B5:H5">SUM(B7:B18)</f>
        <v>1158</v>
      </c>
      <c r="C5" s="455">
        <f t="shared" si="0"/>
        <v>15</v>
      </c>
      <c r="D5" s="454">
        <f t="shared" si="0"/>
        <v>1</v>
      </c>
      <c r="E5" s="454">
        <f t="shared" si="0"/>
        <v>0</v>
      </c>
      <c r="F5" s="454">
        <f t="shared" si="0"/>
        <v>0</v>
      </c>
      <c r="G5" s="454">
        <f t="shared" si="0"/>
        <v>0</v>
      </c>
      <c r="H5" s="455">
        <f t="shared" si="0"/>
        <v>15</v>
      </c>
      <c r="I5" s="37"/>
      <c r="J5" s="37"/>
      <c r="K5" s="37"/>
    </row>
    <row r="6" spans="1:11" ht="21" customHeight="1">
      <c r="A6" s="107"/>
      <c r="B6" s="70"/>
      <c r="C6" s="97"/>
      <c r="D6" s="71"/>
      <c r="E6" s="70"/>
      <c r="F6" s="109"/>
      <c r="G6" s="70"/>
      <c r="H6" s="109"/>
      <c r="I6" s="37"/>
      <c r="J6" s="275"/>
      <c r="K6" s="37"/>
    </row>
    <row r="7" spans="1:11" ht="21" customHeight="1">
      <c r="A7" s="107" t="s">
        <v>305</v>
      </c>
      <c r="B7" s="375">
        <f>56+16+1+2+15+24+3+17+2+9+1</f>
        <v>146</v>
      </c>
      <c r="C7" s="376">
        <v>7</v>
      </c>
      <c r="D7" s="377">
        <v>0</v>
      </c>
      <c r="E7" s="375">
        <v>0</v>
      </c>
      <c r="F7" s="378">
        <v>0</v>
      </c>
      <c r="G7" s="375">
        <v>0</v>
      </c>
      <c r="H7" s="378">
        <v>8</v>
      </c>
      <c r="I7" s="37"/>
      <c r="J7" s="100"/>
      <c r="K7" s="37"/>
    </row>
    <row r="8" spans="1:11" ht="21" customHeight="1">
      <c r="A8" s="107" t="s">
        <v>16</v>
      </c>
      <c r="B8" s="375">
        <f>1+3+18</f>
        <v>22</v>
      </c>
      <c r="C8" s="376">
        <v>0</v>
      </c>
      <c r="D8" s="377">
        <v>0</v>
      </c>
      <c r="E8" s="375">
        <v>0</v>
      </c>
      <c r="F8" s="378">
        <v>0</v>
      </c>
      <c r="G8" s="375">
        <v>0</v>
      </c>
      <c r="H8" s="378">
        <v>0</v>
      </c>
      <c r="I8" s="37"/>
      <c r="J8" s="275"/>
      <c r="K8" s="37"/>
    </row>
    <row r="9" spans="1:11" ht="21" customHeight="1">
      <c r="A9" s="107" t="s">
        <v>306</v>
      </c>
      <c r="B9" s="375">
        <f>28+5+2+21+5+15+2+6</f>
        <v>84</v>
      </c>
      <c r="C9" s="376">
        <v>0</v>
      </c>
      <c r="D9" s="377">
        <v>0</v>
      </c>
      <c r="E9" s="375">
        <v>0</v>
      </c>
      <c r="F9" s="378">
        <v>0</v>
      </c>
      <c r="G9" s="375">
        <v>0</v>
      </c>
      <c r="H9" s="378">
        <v>0</v>
      </c>
      <c r="I9" s="37"/>
      <c r="J9" s="37"/>
      <c r="K9" s="37"/>
    </row>
    <row r="10" spans="1:11" ht="21" customHeight="1">
      <c r="A10" s="107" t="s">
        <v>17</v>
      </c>
      <c r="B10" s="375">
        <f>28+23+3</f>
        <v>54</v>
      </c>
      <c r="C10" s="376">
        <v>3</v>
      </c>
      <c r="D10" s="377">
        <v>1</v>
      </c>
      <c r="E10" s="375">
        <v>0</v>
      </c>
      <c r="F10" s="378">
        <v>0</v>
      </c>
      <c r="G10" s="375">
        <v>0</v>
      </c>
      <c r="H10" s="378">
        <v>2</v>
      </c>
      <c r="I10" s="37"/>
      <c r="J10" s="37"/>
      <c r="K10" s="37"/>
    </row>
    <row r="11" spans="1:11" ht="21" customHeight="1">
      <c r="A11" s="107" t="s">
        <v>307</v>
      </c>
      <c r="B11" s="375">
        <f>52+24+40+2+3</f>
        <v>121</v>
      </c>
      <c r="C11" s="376">
        <v>0</v>
      </c>
      <c r="D11" s="377">
        <v>0</v>
      </c>
      <c r="E11" s="375">
        <v>0</v>
      </c>
      <c r="F11" s="378">
        <v>0</v>
      </c>
      <c r="G11" s="375">
        <v>0</v>
      </c>
      <c r="H11" s="378">
        <v>0</v>
      </c>
      <c r="I11" s="37"/>
      <c r="J11" s="37"/>
      <c r="K11" s="37"/>
    </row>
    <row r="12" spans="1:11" ht="21" customHeight="1">
      <c r="A12" s="107" t="s">
        <v>308</v>
      </c>
      <c r="B12" s="375">
        <f>12+2+14+2+1+9+5+2+45</f>
        <v>92</v>
      </c>
      <c r="C12" s="376">
        <v>0</v>
      </c>
      <c r="D12" s="377">
        <v>0</v>
      </c>
      <c r="E12" s="375">
        <v>0</v>
      </c>
      <c r="F12" s="378">
        <v>0</v>
      </c>
      <c r="G12" s="375">
        <v>0</v>
      </c>
      <c r="H12" s="378">
        <v>0</v>
      </c>
      <c r="I12" s="37"/>
      <c r="J12" s="37"/>
      <c r="K12" s="37"/>
    </row>
    <row r="13" spans="1:11" ht="21" customHeight="1">
      <c r="A13" s="107" t="s">
        <v>19</v>
      </c>
      <c r="B13" s="375">
        <f>72+16+94+59+44+49+5+49+44</f>
        <v>432</v>
      </c>
      <c r="C13" s="376">
        <v>5</v>
      </c>
      <c r="D13" s="377">
        <v>0</v>
      </c>
      <c r="E13" s="375">
        <v>0</v>
      </c>
      <c r="F13" s="378">
        <v>0</v>
      </c>
      <c r="G13" s="375">
        <v>0</v>
      </c>
      <c r="H13" s="378">
        <v>5</v>
      </c>
      <c r="I13" s="37"/>
      <c r="J13" s="37"/>
      <c r="K13" s="37"/>
    </row>
    <row r="14" spans="1:11" ht="21" customHeight="1">
      <c r="A14" s="107" t="s">
        <v>122</v>
      </c>
      <c r="B14" s="375">
        <f>77+11+84+2</f>
        <v>174</v>
      </c>
      <c r="C14" s="376">
        <v>0</v>
      </c>
      <c r="D14" s="377">
        <v>0</v>
      </c>
      <c r="E14" s="375">
        <v>0</v>
      </c>
      <c r="F14" s="378">
        <v>0</v>
      </c>
      <c r="G14" s="375">
        <v>0</v>
      </c>
      <c r="H14" s="378">
        <v>0</v>
      </c>
      <c r="I14" s="37"/>
      <c r="J14" s="37"/>
      <c r="K14" s="37"/>
    </row>
    <row r="15" spans="1:11" ht="21" customHeight="1">
      <c r="A15" s="107" t="s">
        <v>18</v>
      </c>
      <c r="B15" s="375">
        <v>15</v>
      </c>
      <c r="C15" s="376">
        <v>0</v>
      </c>
      <c r="D15" s="377">
        <v>0</v>
      </c>
      <c r="E15" s="375">
        <v>0</v>
      </c>
      <c r="F15" s="378">
        <v>0</v>
      </c>
      <c r="G15" s="375">
        <v>0</v>
      </c>
      <c r="H15" s="378">
        <v>0</v>
      </c>
      <c r="I15" s="37"/>
      <c r="J15" s="37"/>
      <c r="K15" s="37"/>
    </row>
    <row r="16" spans="1:11" ht="21" customHeight="1">
      <c r="A16" s="107" t="s">
        <v>20</v>
      </c>
      <c r="B16" s="375">
        <v>5</v>
      </c>
      <c r="C16" s="376">
        <v>0</v>
      </c>
      <c r="D16" s="377">
        <v>0</v>
      </c>
      <c r="E16" s="375">
        <v>0</v>
      </c>
      <c r="F16" s="378">
        <v>0</v>
      </c>
      <c r="G16" s="375">
        <v>0</v>
      </c>
      <c r="H16" s="378">
        <v>0</v>
      </c>
      <c r="I16" s="37"/>
      <c r="J16" s="37"/>
      <c r="K16" s="37"/>
    </row>
    <row r="17" spans="1:11" ht="21" customHeight="1">
      <c r="A17" s="107" t="s">
        <v>110</v>
      </c>
      <c r="B17" s="379">
        <v>13</v>
      </c>
      <c r="C17" s="379">
        <v>0</v>
      </c>
      <c r="D17" s="379">
        <v>0</v>
      </c>
      <c r="E17" s="379">
        <v>0</v>
      </c>
      <c r="F17" s="379">
        <v>0</v>
      </c>
      <c r="G17" s="379">
        <v>0</v>
      </c>
      <c r="H17" s="380">
        <v>0</v>
      </c>
      <c r="I17" s="37"/>
      <c r="J17" s="37"/>
      <c r="K17" s="37"/>
    </row>
    <row r="18" spans="1:11" ht="21" customHeight="1" thickBot="1">
      <c r="A18" s="108"/>
      <c r="B18" s="381"/>
      <c r="C18" s="382"/>
      <c r="D18" s="383"/>
      <c r="E18" s="381"/>
      <c r="F18" s="382"/>
      <c r="G18" s="381"/>
      <c r="H18" s="382"/>
      <c r="I18" s="37"/>
      <c r="J18" s="37"/>
      <c r="K18" s="37"/>
    </row>
    <row r="19" spans="1:11" ht="13.5">
      <c r="A19" s="37"/>
      <c r="B19" s="37"/>
      <c r="C19" s="37"/>
      <c r="D19" s="37"/>
      <c r="E19" s="37"/>
      <c r="F19" s="37"/>
      <c r="G19" s="37"/>
      <c r="H19" s="101" t="s">
        <v>210</v>
      </c>
      <c r="I19" s="37"/>
      <c r="J19" s="37"/>
      <c r="K19" s="37"/>
    </row>
    <row r="20" spans="1:11" ht="13.5">
      <c r="A20" s="37"/>
      <c r="B20" s="37"/>
      <c r="C20" s="37"/>
      <c r="D20" s="37"/>
      <c r="E20" s="37"/>
      <c r="F20" s="37"/>
      <c r="G20" s="37"/>
      <c r="H20" s="101"/>
      <c r="I20" s="37"/>
      <c r="J20" s="37"/>
      <c r="K20" s="37"/>
    </row>
    <row r="21" spans="1:11" ht="13.5">
      <c r="A21" s="37"/>
      <c r="B21" s="37"/>
      <c r="C21" s="37"/>
      <c r="D21" s="37"/>
      <c r="E21" s="37"/>
      <c r="F21" s="37"/>
      <c r="G21" s="37"/>
      <c r="H21" s="101"/>
      <c r="I21" s="37"/>
      <c r="J21" s="37"/>
      <c r="K21" s="37"/>
    </row>
    <row r="22" spans="1:11" ht="13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23.25" customHeight="1">
      <c r="A23" s="98" t="s">
        <v>245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7.25" customHeight="1" thickBot="1">
      <c r="A24" s="51"/>
      <c r="B24" s="51"/>
      <c r="C24" s="51"/>
      <c r="D24" s="51"/>
      <c r="E24" s="51"/>
      <c r="F24" s="51"/>
      <c r="G24" s="51"/>
      <c r="H24" s="51"/>
      <c r="I24" s="102"/>
      <c r="J24" s="102" t="s">
        <v>299</v>
      </c>
      <c r="K24" s="37"/>
    </row>
    <row r="25" spans="1:11" s="4" customFormat="1" ht="21.75" customHeight="1">
      <c r="A25" s="579" t="s">
        <v>111</v>
      </c>
      <c r="B25" s="586" t="s">
        <v>309</v>
      </c>
      <c r="C25" s="587"/>
      <c r="D25" s="587"/>
      <c r="E25" s="587"/>
      <c r="F25" s="587"/>
      <c r="G25" s="587"/>
      <c r="H25" s="587"/>
      <c r="I25" s="587"/>
      <c r="J25" s="587"/>
      <c r="K25" s="37"/>
    </row>
    <row r="26" spans="1:11" s="4" customFormat="1" ht="17.25" customHeight="1">
      <c r="A26" s="580"/>
      <c r="B26" s="569" t="s">
        <v>242</v>
      </c>
      <c r="C26" s="571" t="s">
        <v>243</v>
      </c>
      <c r="D26" s="582" t="s">
        <v>116</v>
      </c>
      <c r="E26" s="583"/>
      <c r="F26" s="583"/>
      <c r="G26" s="583"/>
      <c r="H26" s="583"/>
      <c r="I26" s="583"/>
      <c r="J26" s="583"/>
      <c r="K26" s="103"/>
    </row>
    <row r="27" spans="1:11" s="4" customFormat="1" ht="13.5">
      <c r="A27" s="580"/>
      <c r="B27" s="569"/>
      <c r="C27" s="571"/>
      <c r="D27" s="584" t="s">
        <v>166</v>
      </c>
      <c r="E27" s="584" t="s">
        <v>162</v>
      </c>
      <c r="F27" s="584" t="s">
        <v>163</v>
      </c>
      <c r="G27" s="584" t="s">
        <v>164</v>
      </c>
      <c r="H27" s="584" t="s">
        <v>165</v>
      </c>
      <c r="I27" s="584" t="s">
        <v>117</v>
      </c>
      <c r="J27" s="588" t="s">
        <v>167</v>
      </c>
      <c r="K27" s="103"/>
    </row>
    <row r="28" spans="1:11" s="4" customFormat="1" ht="29.25" customHeight="1">
      <c r="A28" s="581"/>
      <c r="B28" s="570"/>
      <c r="C28" s="572"/>
      <c r="D28" s="585"/>
      <c r="E28" s="585"/>
      <c r="F28" s="585"/>
      <c r="G28" s="585"/>
      <c r="H28" s="585"/>
      <c r="I28" s="585"/>
      <c r="J28" s="589"/>
      <c r="K28" s="103"/>
    </row>
    <row r="29" spans="1:11" ht="21" customHeight="1">
      <c r="A29" s="244" t="s">
        <v>156</v>
      </c>
      <c r="B29" s="456">
        <f>SUM(B31:B37)</f>
        <v>28</v>
      </c>
      <c r="C29" s="456">
        <f aca="true" t="shared" si="1" ref="C29:J29">SUM(C31:C37)</f>
        <v>0</v>
      </c>
      <c r="D29" s="456">
        <f t="shared" si="1"/>
        <v>0</v>
      </c>
      <c r="E29" s="456">
        <f t="shared" si="1"/>
        <v>0</v>
      </c>
      <c r="F29" s="456">
        <f t="shared" si="1"/>
        <v>0</v>
      </c>
      <c r="G29" s="456">
        <f t="shared" si="1"/>
        <v>0</v>
      </c>
      <c r="H29" s="456">
        <f t="shared" si="1"/>
        <v>0</v>
      </c>
      <c r="I29" s="456">
        <f t="shared" si="1"/>
        <v>0</v>
      </c>
      <c r="J29" s="457">
        <f t="shared" si="1"/>
        <v>0</v>
      </c>
      <c r="K29" s="100"/>
    </row>
    <row r="30" spans="1:11" ht="21" customHeight="1">
      <c r="A30" s="244"/>
      <c r="B30" s="110"/>
      <c r="C30" s="111"/>
      <c r="D30" s="111"/>
      <c r="E30" s="111"/>
      <c r="F30" s="111"/>
      <c r="G30" s="111"/>
      <c r="H30" s="111"/>
      <c r="I30" s="111"/>
      <c r="J30" s="112"/>
      <c r="K30" s="100"/>
    </row>
    <row r="31" spans="1:11" ht="21" customHeight="1">
      <c r="A31" s="244" t="s">
        <v>155</v>
      </c>
      <c r="B31" s="384">
        <v>0</v>
      </c>
      <c r="C31" s="385">
        <v>0</v>
      </c>
      <c r="D31" s="385">
        <v>0</v>
      </c>
      <c r="E31" s="385">
        <v>0</v>
      </c>
      <c r="F31" s="385">
        <v>0</v>
      </c>
      <c r="G31" s="385">
        <v>0</v>
      </c>
      <c r="H31" s="385">
        <v>0</v>
      </c>
      <c r="I31" s="385">
        <v>0</v>
      </c>
      <c r="J31" s="386">
        <v>0</v>
      </c>
      <c r="K31" s="100"/>
    </row>
    <row r="32" spans="1:11" ht="21" customHeight="1">
      <c r="A32" s="244" t="s">
        <v>157</v>
      </c>
      <c r="B32" s="384">
        <v>21</v>
      </c>
      <c r="C32" s="385">
        <v>0</v>
      </c>
      <c r="D32" s="385">
        <v>0</v>
      </c>
      <c r="E32" s="385">
        <v>0</v>
      </c>
      <c r="F32" s="385">
        <v>0</v>
      </c>
      <c r="G32" s="385">
        <v>0</v>
      </c>
      <c r="H32" s="385">
        <v>0</v>
      </c>
      <c r="I32" s="385">
        <v>0</v>
      </c>
      <c r="J32" s="386">
        <v>0</v>
      </c>
      <c r="K32" s="100"/>
    </row>
    <row r="33" spans="1:11" ht="21" customHeight="1">
      <c r="A33" s="244" t="s">
        <v>159</v>
      </c>
      <c r="B33" s="384">
        <v>1</v>
      </c>
      <c r="C33" s="385">
        <v>0</v>
      </c>
      <c r="D33" s="385">
        <v>0</v>
      </c>
      <c r="E33" s="385">
        <v>0</v>
      </c>
      <c r="F33" s="385">
        <v>0</v>
      </c>
      <c r="G33" s="385">
        <v>0</v>
      </c>
      <c r="H33" s="385">
        <v>0</v>
      </c>
      <c r="I33" s="385">
        <v>0</v>
      </c>
      <c r="J33" s="386">
        <v>0</v>
      </c>
      <c r="K33" s="100"/>
    </row>
    <row r="34" spans="1:11" ht="21" customHeight="1">
      <c r="A34" s="244" t="s">
        <v>158</v>
      </c>
      <c r="B34" s="384">
        <v>0</v>
      </c>
      <c r="C34" s="385">
        <v>0</v>
      </c>
      <c r="D34" s="387">
        <v>0</v>
      </c>
      <c r="E34" s="384">
        <v>0</v>
      </c>
      <c r="F34" s="387">
        <v>0</v>
      </c>
      <c r="G34" s="384">
        <v>0</v>
      </c>
      <c r="H34" s="387">
        <v>0</v>
      </c>
      <c r="I34" s="384">
        <v>0</v>
      </c>
      <c r="J34" s="387">
        <v>0</v>
      </c>
      <c r="K34" s="100"/>
    </row>
    <row r="35" spans="1:11" ht="21" customHeight="1">
      <c r="A35" s="245" t="s">
        <v>160</v>
      </c>
      <c r="B35" s="384">
        <v>0</v>
      </c>
      <c r="C35" s="385">
        <v>0</v>
      </c>
      <c r="D35" s="385">
        <v>0</v>
      </c>
      <c r="E35" s="385">
        <v>0</v>
      </c>
      <c r="F35" s="385">
        <v>0</v>
      </c>
      <c r="G35" s="385">
        <v>0</v>
      </c>
      <c r="H35" s="385">
        <v>0</v>
      </c>
      <c r="I35" s="385">
        <v>0</v>
      </c>
      <c r="J35" s="386">
        <v>0</v>
      </c>
      <c r="K35" s="100"/>
    </row>
    <row r="36" spans="1:11" ht="21" customHeight="1">
      <c r="A36" s="245" t="s">
        <v>161</v>
      </c>
      <c r="B36" s="384">
        <v>4</v>
      </c>
      <c r="C36" s="385">
        <v>0</v>
      </c>
      <c r="D36" s="385">
        <v>0</v>
      </c>
      <c r="E36" s="385">
        <v>0</v>
      </c>
      <c r="F36" s="385">
        <v>0</v>
      </c>
      <c r="G36" s="385">
        <v>0</v>
      </c>
      <c r="H36" s="385">
        <v>0</v>
      </c>
      <c r="I36" s="385">
        <v>0</v>
      </c>
      <c r="J36" s="386">
        <v>0</v>
      </c>
      <c r="K36" s="100"/>
    </row>
    <row r="37" spans="1:11" ht="21" customHeight="1" thickBot="1">
      <c r="A37" s="55" t="s">
        <v>110</v>
      </c>
      <c r="B37" s="381">
        <v>2</v>
      </c>
      <c r="C37" s="388">
        <v>0</v>
      </c>
      <c r="D37" s="388">
        <v>0</v>
      </c>
      <c r="E37" s="388">
        <v>0</v>
      </c>
      <c r="F37" s="388">
        <v>0</v>
      </c>
      <c r="G37" s="388">
        <v>0</v>
      </c>
      <c r="H37" s="388">
        <v>0</v>
      </c>
      <c r="I37" s="388">
        <v>0</v>
      </c>
      <c r="J37" s="389">
        <v>0</v>
      </c>
      <c r="K37" s="100"/>
    </row>
    <row r="38" spans="1:11" ht="13.5">
      <c r="A38" s="37"/>
      <c r="B38" s="37"/>
      <c r="C38" s="37"/>
      <c r="D38" s="37"/>
      <c r="E38" s="37"/>
      <c r="F38" s="37"/>
      <c r="G38" s="37"/>
      <c r="H38" s="37"/>
      <c r="I38" s="37"/>
      <c r="J38" s="101" t="s">
        <v>201</v>
      </c>
      <c r="K38" s="37"/>
    </row>
    <row r="40" ht="13.5">
      <c r="B40" s="37"/>
    </row>
  </sheetData>
  <sheetProtection/>
  <mergeCells count="16">
    <mergeCell ref="F27:F28"/>
    <mergeCell ref="G27:G28"/>
    <mergeCell ref="H27:H28"/>
    <mergeCell ref="B25:J25"/>
    <mergeCell ref="I27:I28"/>
    <mergeCell ref="J27:J28"/>
    <mergeCell ref="D3:H3"/>
    <mergeCell ref="B26:B28"/>
    <mergeCell ref="C26:C28"/>
    <mergeCell ref="A3:A4"/>
    <mergeCell ref="B3:B4"/>
    <mergeCell ref="C3:C4"/>
    <mergeCell ref="A25:A28"/>
    <mergeCell ref="D26:J26"/>
    <mergeCell ref="D27:D28"/>
    <mergeCell ref="E27:E28"/>
  </mergeCells>
  <printOptions/>
  <pageMargins left="0.7874015748031497" right="0.71" top="0.984251968503937" bottom="0.984251968503937" header="0.5118110236220472" footer="0.5118110236220472"/>
  <pageSetup firstPageNumber="235" useFirstPageNumber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2"/>
  <sheetViews>
    <sheetView view="pageBreakPreview" zoomScaleNormal="75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I41" sqref="I41"/>
    </sheetView>
  </sheetViews>
  <sheetFormatPr defaultColWidth="9.00390625" defaultRowHeight="13.5"/>
  <cols>
    <col min="1" max="1" width="21.00390625" style="1" customWidth="1"/>
    <col min="2" max="2" width="4.625" style="1" customWidth="1"/>
    <col min="3" max="3" width="5.875" style="1" customWidth="1"/>
    <col min="4" max="8" width="4.625" style="1" customWidth="1"/>
    <col min="9" max="9" width="5.50390625" style="1" customWidth="1"/>
    <col min="10" max="14" width="4.625" style="1" customWidth="1"/>
    <col min="15" max="15" width="5.50390625" style="1" customWidth="1"/>
    <col min="16" max="19" width="4.625" style="1" customWidth="1"/>
    <col min="20" max="23" width="4.125" style="1" customWidth="1"/>
    <col min="24" max="24" width="4.75390625" style="1" customWidth="1"/>
    <col min="25" max="26" width="4.125" style="1" customWidth="1"/>
    <col min="27" max="27" width="5.00390625" style="1" customWidth="1"/>
    <col min="28" max="29" width="4.125" style="1" customWidth="1"/>
    <col min="30" max="30" width="5.375" style="1" customWidth="1"/>
    <col min="31" max="31" width="4.125" style="1" customWidth="1"/>
    <col min="32" max="33" width="4.375" style="1" customWidth="1"/>
    <col min="34" max="35" width="4.125" style="1" customWidth="1"/>
    <col min="36" max="36" width="5.125" style="1" customWidth="1"/>
    <col min="37" max="38" width="4.125" style="1" customWidth="1"/>
    <col min="39" max="39" width="4.75390625" style="1" customWidth="1"/>
    <col min="40" max="40" width="3.75390625" style="1" customWidth="1"/>
    <col min="41" max="41" width="15.00390625" style="1" customWidth="1"/>
    <col min="42" max="16384" width="9.00390625" style="1" customWidth="1"/>
  </cols>
  <sheetData>
    <row r="1" spans="1:41" ht="18.75" customHeight="1">
      <c r="A1" s="113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113"/>
    </row>
    <row r="2" spans="1:41" ht="18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590"/>
      <c r="AM2" s="590"/>
      <c r="AN2" s="590"/>
      <c r="AO2" s="162" t="s">
        <v>301</v>
      </c>
    </row>
    <row r="3" spans="1:41" s="4" customFormat="1" ht="18.75" customHeight="1">
      <c r="A3" s="123" t="s">
        <v>125</v>
      </c>
      <c r="B3" s="164" t="s">
        <v>123</v>
      </c>
      <c r="C3" s="117"/>
      <c r="D3" s="117" t="s">
        <v>124</v>
      </c>
      <c r="E3" s="165" t="s">
        <v>248</v>
      </c>
      <c r="F3" s="117"/>
      <c r="G3" s="118" t="s">
        <v>125</v>
      </c>
      <c r="H3" s="135" t="s">
        <v>249</v>
      </c>
      <c r="I3" s="117"/>
      <c r="J3" s="117" t="s">
        <v>125</v>
      </c>
      <c r="K3" s="165" t="s">
        <v>1</v>
      </c>
      <c r="L3" s="117"/>
      <c r="M3" s="118" t="s">
        <v>125</v>
      </c>
      <c r="N3" s="135" t="s">
        <v>2</v>
      </c>
      <c r="O3" s="117"/>
      <c r="P3" s="117" t="s">
        <v>125</v>
      </c>
      <c r="Q3" s="165" t="s">
        <v>3</v>
      </c>
      <c r="R3" s="117"/>
      <c r="S3" s="118" t="s">
        <v>125</v>
      </c>
      <c r="T3" s="135" t="s">
        <v>4</v>
      </c>
      <c r="U3" s="117"/>
      <c r="V3" s="117" t="s">
        <v>125</v>
      </c>
      <c r="W3" s="165" t="s">
        <v>5</v>
      </c>
      <c r="X3" s="117"/>
      <c r="Y3" s="118" t="s">
        <v>125</v>
      </c>
      <c r="Z3" s="135" t="s">
        <v>6</v>
      </c>
      <c r="AA3" s="117"/>
      <c r="AB3" s="117" t="s">
        <v>125</v>
      </c>
      <c r="AC3" s="165" t="s">
        <v>7</v>
      </c>
      <c r="AD3" s="117"/>
      <c r="AE3" s="118" t="s">
        <v>125</v>
      </c>
      <c r="AF3" s="135" t="s">
        <v>8</v>
      </c>
      <c r="AG3" s="117"/>
      <c r="AH3" s="117" t="s">
        <v>125</v>
      </c>
      <c r="AI3" s="165" t="s">
        <v>9</v>
      </c>
      <c r="AJ3" s="117"/>
      <c r="AK3" s="118" t="s">
        <v>125</v>
      </c>
      <c r="AL3" s="135" t="s">
        <v>10</v>
      </c>
      <c r="AM3" s="117"/>
      <c r="AN3" s="117" t="s">
        <v>125</v>
      </c>
      <c r="AO3" s="171" t="s">
        <v>125</v>
      </c>
    </row>
    <row r="4" spans="1:41" s="4" customFormat="1" ht="18.75" customHeight="1">
      <c r="A4" s="124"/>
      <c r="B4" s="119" t="s">
        <v>126</v>
      </c>
      <c r="C4" s="120" t="s">
        <v>127</v>
      </c>
      <c r="D4" s="167" t="s">
        <v>128</v>
      </c>
      <c r="E4" s="168" t="s">
        <v>126</v>
      </c>
      <c r="F4" s="119" t="s">
        <v>127</v>
      </c>
      <c r="G4" s="127" t="s">
        <v>128</v>
      </c>
      <c r="H4" s="128" t="s">
        <v>126</v>
      </c>
      <c r="I4" s="120" t="s">
        <v>127</v>
      </c>
      <c r="J4" s="167" t="s">
        <v>128</v>
      </c>
      <c r="K4" s="168" t="s">
        <v>126</v>
      </c>
      <c r="L4" s="119" t="s">
        <v>127</v>
      </c>
      <c r="M4" s="127" t="s">
        <v>128</v>
      </c>
      <c r="N4" s="128" t="s">
        <v>126</v>
      </c>
      <c r="O4" s="120" t="s">
        <v>127</v>
      </c>
      <c r="P4" s="167" t="s">
        <v>128</v>
      </c>
      <c r="Q4" s="168" t="s">
        <v>126</v>
      </c>
      <c r="R4" s="119" t="s">
        <v>127</v>
      </c>
      <c r="S4" s="127" t="s">
        <v>128</v>
      </c>
      <c r="T4" s="128" t="s">
        <v>126</v>
      </c>
      <c r="U4" s="120" t="s">
        <v>127</v>
      </c>
      <c r="V4" s="167" t="s">
        <v>128</v>
      </c>
      <c r="W4" s="168" t="s">
        <v>126</v>
      </c>
      <c r="X4" s="119" t="s">
        <v>127</v>
      </c>
      <c r="Y4" s="127" t="s">
        <v>128</v>
      </c>
      <c r="Z4" s="128" t="s">
        <v>126</v>
      </c>
      <c r="AA4" s="120" t="s">
        <v>127</v>
      </c>
      <c r="AB4" s="167" t="s">
        <v>128</v>
      </c>
      <c r="AC4" s="168" t="s">
        <v>126</v>
      </c>
      <c r="AD4" s="119" t="s">
        <v>127</v>
      </c>
      <c r="AE4" s="127" t="s">
        <v>128</v>
      </c>
      <c r="AF4" s="128" t="s">
        <v>126</v>
      </c>
      <c r="AG4" s="120" t="s">
        <v>127</v>
      </c>
      <c r="AH4" s="167" t="s">
        <v>128</v>
      </c>
      <c r="AI4" s="168" t="s">
        <v>126</v>
      </c>
      <c r="AJ4" s="119" t="s">
        <v>127</v>
      </c>
      <c r="AK4" s="127" t="s">
        <v>128</v>
      </c>
      <c r="AL4" s="128" t="s">
        <v>126</v>
      </c>
      <c r="AM4" s="119" t="s">
        <v>127</v>
      </c>
      <c r="AN4" s="120" t="s">
        <v>128</v>
      </c>
      <c r="AO4" s="172"/>
    </row>
    <row r="5" spans="1:41" s="4" customFormat="1" ht="18.75" customHeight="1">
      <c r="A5" s="124"/>
      <c r="B5" s="121"/>
      <c r="C5" s="120" t="s">
        <v>129</v>
      </c>
      <c r="D5" s="168" t="s">
        <v>129</v>
      </c>
      <c r="E5" s="168"/>
      <c r="F5" s="121" t="s">
        <v>129</v>
      </c>
      <c r="G5" s="127" t="s">
        <v>129</v>
      </c>
      <c r="H5" s="127"/>
      <c r="I5" s="120" t="s">
        <v>129</v>
      </c>
      <c r="J5" s="168" t="s">
        <v>129</v>
      </c>
      <c r="K5" s="168"/>
      <c r="L5" s="121" t="s">
        <v>129</v>
      </c>
      <c r="M5" s="127" t="s">
        <v>129</v>
      </c>
      <c r="N5" s="127"/>
      <c r="O5" s="120" t="s">
        <v>129</v>
      </c>
      <c r="P5" s="168" t="s">
        <v>129</v>
      </c>
      <c r="Q5" s="168"/>
      <c r="R5" s="121" t="s">
        <v>129</v>
      </c>
      <c r="S5" s="127" t="s">
        <v>129</v>
      </c>
      <c r="T5" s="127"/>
      <c r="U5" s="120" t="s">
        <v>129</v>
      </c>
      <c r="V5" s="168" t="s">
        <v>129</v>
      </c>
      <c r="W5" s="168"/>
      <c r="X5" s="121" t="s">
        <v>129</v>
      </c>
      <c r="Y5" s="127" t="s">
        <v>129</v>
      </c>
      <c r="Z5" s="127"/>
      <c r="AA5" s="120" t="s">
        <v>129</v>
      </c>
      <c r="AB5" s="168" t="s">
        <v>129</v>
      </c>
      <c r="AC5" s="168"/>
      <c r="AD5" s="121" t="s">
        <v>129</v>
      </c>
      <c r="AE5" s="127" t="s">
        <v>129</v>
      </c>
      <c r="AF5" s="127"/>
      <c r="AG5" s="120" t="s">
        <v>129</v>
      </c>
      <c r="AH5" s="168" t="s">
        <v>129</v>
      </c>
      <c r="AI5" s="168"/>
      <c r="AJ5" s="121" t="s">
        <v>129</v>
      </c>
      <c r="AK5" s="127" t="s">
        <v>129</v>
      </c>
      <c r="AL5" s="127"/>
      <c r="AM5" s="121" t="s">
        <v>129</v>
      </c>
      <c r="AN5" s="120" t="s">
        <v>129</v>
      </c>
      <c r="AO5" s="172"/>
    </row>
    <row r="6" spans="1:41" s="4" customFormat="1" ht="18.75" customHeight="1">
      <c r="A6" s="125" t="s">
        <v>250</v>
      </c>
      <c r="B6" s="122" t="s">
        <v>124</v>
      </c>
      <c r="C6" s="115" t="s">
        <v>124</v>
      </c>
      <c r="D6" s="48" t="s">
        <v>124</v>
      </c>
      <c r="E6" s="48" t="s">
        <v>124</v>
      </c>
      <c r="F6" s="122" t="s">
        <v>124</v>
      </c>
      <c r="G6" s="116" t="s">
        <v>124</v>
      </c>
      <c r="H6" s="116" t="s">
        <v>124</v>
      </c>
      <c r="I6" s="115" t="s">
        <v>124</v>
      </c>
      <c r="J6" s="48" t="s">
        <v>124</v>
      </c>
      <c r="K6" s="48" t="s">
        <v>124</v>
      </c>
      <c r="L6" s="122" t="s">
        <v>124</v>
      </c>
      <c r="M6" s="116" t="s">
        <v>124</v>
      </c>
      <c r="N6" s="116" t="s">
        <v>124</v>
      </c>
      <c r="O6" s="115" t="s">
        <v>124</v>
      </c>
      <c r="P6" s="48" t="s">
        <v>124</v>
      </c>
      <c r="Q6" s="48" t="s">
        <v>124</v>
      </c>
      <c r="R6" s="122" t="s">
        <v>124</v>
      </c>
      <c r="S6" s="116" t="s">
        <v>124</v>
      </c>
      <c r="T6" s="116" t="s">
        <v>124</v>
      </c>
      <c r="U6" s="115" t="s">
        <v>124</v>
      </c>
      <c r="V6" s="48" t="s">
        <v>124</v>
      </c>
      <c r="W6" s="48" t="s">
        <v>124</v>
      </c>
      <c r="X6" s="122" t="s">
        <v>124</v>
      </c>
      <c r="Y6" s="116" t="s">
        <v>124</v>
      </c>
      <c r="Z6" s="116" t="s">
        <v>124</v>
      </c>
      <c r="AA6" s="115" t="s">
        <v>124</v>
      </c>
      <c r="AB6" s="48" t="s">
        <v>124</v>
      </c>
      <c r="AC6" s="48" t="s">
        <v>124</v>
      </c>
      <c r="AD6" s="122" t="s">
        <v>124</v>
      </c>
      <c r="AE6" s="116" t="s">
        <v>124</v>
      </c>
      <c r="AF6" s="116" t="s">
        <v>124</v>
      </c>
      <c r="AG6" s="115" t="s">
        <v>124</v>
      </c>
      <c r="AH6" s="48" t="s">
        <v>124</v>
      </c>
      <c r="AI6" s="48" t="s">
        <v>124</v>
      </c>
      <c r="AJ6" s="122" t="s">
        <v>124</v>
      </c>
      <c r="AK6" s="116" t="s">
        <v>124</v>
      </c>
      <c r="AL6" s="116" t="s">
        <v>124</v>
      </c>
      <c r="AM6" s="122" t="s">
        <v>124</v>
      </c>
      <c r="AN6" s="115" t="s">
        <v>124</v>
      </c>
      <c r="AO6" s="173" t="s">
        <v>250</v>
      </c>
    </row>
    <row r="7" spans="1:41" ht="18.75" customHeight="1">
      <c r="A7" s="166" t="s">
        <v>30</v>
      </c>
      <c r="B7" s="459">
        <f>SUM(B9:B20)</f>
        <v>19</v>
      </c>
      <c r="C7" s="458">
        <f aca="true" t="shared" si="0" ref="C7:AN7">SUM(C9:C20)</f>
        <v>340</v>
      </c>
      <c r="D7" s="458">
        <f t="shared" si="0"/>
        <v>0</v>
      </c>
      <c r="E7" s="459">
        <f t="shared" si="0"/>
        <v>0</v>
      </c>
      <c r="F7" s="458">
        <f t="shared" si="0"/>
        <v>0</v>
      </c>
      <c r="G7" s="460">
        <f t="shared" si="0"/>
        <v>0</v>
      </c>
      <c r="H7" s="458">
        <f>SUM(H9:H20)</f>
        <v>0</v>
      </c>
      <c r="I7" s="458">
        <f t="shared" si="0"/>
        <v>0</v>
      </c>
      <c r="J7" s="458">
        <f t="shared" si="0"/>
        <v>0</v>
      </c>
      <c r="K7" s="459">
        <f t="shared" si="0"/>
        <v>0</v>
      </c>
      <c r="L7" s="458">
        <f t="shared" si="0"/>
        <v>0</v>
      </c>
      <c r="M7" s="460">
        <f t="shared" si="0"/>
        <v>0</v>
      </c>
      <c r="N7" s="458">
        <f>SUM(N9:N20)</f>
        <v>0</v>
      </c>
      <c r="O7" s="458">
        <f t="shared" si="0"/>
        <v>0</v>
      </c>
      <c r="P7" s="458">
        <f t="shared" si="0"/>
        <v>0</v>
      </c>
      <c r="Q7" s="459">
        <f t="shared" si="0"/>
        <v>3</v>
      </c>
      <c r="R7" s="458">
        <f t="shared" si="0"/>
        <v>50</v>
      </c>
      <c r="S7" s="460">
        <f t="shared" si="0"/>
        <v>0</v>
      </c>
      <c r="T7" s="458">
        <f t="shared" si="0"/>
        <v>7</v>
      </c>
      <c r="U7" s="458">
        <f>SUM(U9:U20)</f>
        <v>131</v>
      </c>
      <c r="V7" s="458">
        <f t="shared" si="0"/>
        <v>0</v>
      </c>
      <c r="W7" s="459">
        <f t="shared" si="0"/>
        <v>0</v>
      </c>
      <c r="X7" s="458">
        <f t="shared" si="0"/>
        <v>0</v>
      </c>
      <c r="Y7" s="460">
        <f t="shared" si="0"/>
        <v>0</v>
      </c>
      <c r="Z7" s="458">
        <f t="shared" si="0"/>
        <v>3</v>
      </c>
      <c r="AA7" s="458">
        <f t="shared" si="0"/>
        <v>22</v>
      </c>
      <c r="AB7" s="458">
        <f t="shared" si="0"/>
        <v>0</v>
      </c>
      <c r="AC7" s="459">
        <f t="shared" si="0"/>
        <v>0</v>
      </c>
      <c r="AD7" s="458">
        <f t="shared" si="0"/>
        <v>0</v>
      </c>
      <c r="AE7" s="460">
        <f t="shared" si="0"/>
        <v>0</v>
      </c>
      <c r="AF7" s="458">
        <f t="shared" si="0"/>
        <v>1</v>
      </c>
      <c r="AG7" s="458">
        <f t="shared" si="0"/>
        <v>6</v>
      </c>
      <c r="AH7" s="458">
        <f t="shared" si="0"/>
        <v>0</v>
      </c>
      <c r="AI7" s="459">
        <f t="shared" si="0"/>
        <v>1</v>
      </c>
      <c r="AJ7" s="458">
        <f t="shared" si="0"/>
        <v>53</v>
      </c>
      <c r="AK7" s="460">
        <f t="shared" si="0"/>
        <v>0</v>
      </c>
      <c r="AL7" s="458">
        <f t="shared" si="0"/>
        <v>4</v>
      </c>
      <c r="AM7" s="458">
        <f t="shared" si="0"/>
        <v>78</v>
      </c>
      <c r="AN7" s="458">
        <f t="shared" si="0"/>
        <v>0</v>
      </c>
      <c r="AO7" s="169" t="s">
        <v>30</v>
      </c>
    </row>
    <row r="8" spans="1:41" ht="18.75" customHeight="1">
      <c r="A8" s="166"/>
      <c r="B8" s="285"/>
      <c r="C8" s="286"/>
      <c r="D8" s="286"/>
      <c r="E8" s="285"/>
      <c r="F8" s="286"/>
      <c r="G8" s="287"/>
      <c r="H8" s="286"/>
      <c r="I8" s="286"/>
      <c r="J8" s="286"/>
      <c r="K8" s="285"/>
      <c r="L8" s="286"/>
      <c r="M8" s="287"/>
      <c r="N8" s="286"/>
      <c r="O8" s="286"/>
      <c r="P8" s="286"/>
      <c r="Q8" s="285"/>
      <c r="R8" s="286"/>
      <c r="S8" s="287"/>
      <c r="T8" s="286"/>
      <c r="U8" s="286"/>
      <c r="V8" s="286"/>
      <c r="W8" s="285"/>
      <c r="X8" s="286"/>
      <c r="Y8" s="287"/>
      <c r="Z8" s="286"/>
      <c r="AA8" s="286"/>
      <c r="AB8" s="286"/>
      <c r="AC8" s="285"/>
      <c r="AD8" s="286"/>
      <c r="AE8" s="287"/>
      <c r="AF8" s="286"/>
      <c r="AG8" s="286"/>
      <c r="AH8" s="286"/>
      <c r="AI8" s="285"/>
      <c r="AJ8" s="286"/>
      <c r="AK8" s="287"/>
      <c r="AL8" s="286"/>
      <c r="AM8" s="286"/>
      <c r="AN8" s="286"/>
      <c r="AO8" s="169"/>
    </row>
    <row r="9" spans="1:41" ht="18.75" customHeight="1">
      <c r="A9" s="166" t="s">
        <v>140</v>
      </c>
      <c r="B9" s="459">
        <f>E9+H9+K9+N9+Q9+T9+W9+Z9+AC9+AF9+AI9+AL9</f>
        <v>0</v>
      </c>
      <c r="C9" s="458">
        <f>F9+I9+L9+O9+R9+U9+X9+AA9+AD9+AG9+AJ9+AM9</f>
        <v>0</v>
      </c>
      <c r="D9" s="458">
        <f>G9+J9+M9+P9+S9+V9+Y9+AB9+AE9+AH9+AK9+AN9</f>
        <v>0</v>
      </c>
      <c r="E9" s="391">
        <v>0</v>
      </c>
      <c r="F9" s="392">
        <v>0</v>
      </c>
      <c r="G9" s="390">
        <v>0</v>
      </c>
      <c r="H9" s="391">
        <v>0</v>
      </c>
      <c r="I9" s="392">
        <v>0</v>
      </c>
      <c r="J9" s="390">
        <v>0</v>
      </c>
      <c r="K9" s="391">
        <v>0</v>
      </c>
      <c r="L9" s="392">
        <v>0</v>
      </c>
      <c r="M9" s="390">
        <v>0</v>
      </c>
      <c r="N9" s="391">
        <v>0</v>
      </c>
      <c r="O9" s="392">
        <v>0</v>
      </c>
      <c r="P9" s="390">
        <v>0</v>
      </c>
      <c r="Q9" s="391">
        <v>0</v>
      </c>
      <c r="R9" s="392">
        <v>0</v>
      </c>
      <c r="S9" s="390">
        <v>0</v>
      </c>
      <c r="T9" s="392">
        <v>0</v>
      </c>
      <c r="U9" s="392">
        <v>0</v>
      </c>
      <c r="V9" s="392">
        <v>0</v>
      </c>
      <c r="W9" s="391">
        <v>0</v>
      </c>
      <c r="X9" s="392">
        <v>0</v>
      </c>
      <c r="Y9" s="390">
        <v>0</v>
      </c>
      <c r="Z9" s="392">
        <v>0</v>
      </c>
      <c r="AA9" s="392">
        <v>0</v>
      </c>
      <c r="AB9" s="392">
        <v>0</v>
      </c>
      <c r="AC9" s="391">
        <v>0</v>
      </c>
      <c r="AD9" s="392">
        <v>0</v>
      </c>
      <c r="AE9" s="390">
        <v>0</v>
      </c>
      <c r="AF9" s="391">
        <v>0</v>
      </c>
      <c r="AG9" s="392">
        <v>0</v>
      </c>
      <c r="AH9" s="390">
        <v>0</v>
      </c>
      <c r="AI9" s="391">
        <v>0</v>
      </c>
      <c r="AJ9" s="392">
        <v>0</v>
      </c>
      <c r="AK9" s="390">
        <v>0</v>
      </c>
      <c r="AL9" s="391">
        <v>0</v>
      </c>
      <c r="AM9" s="392">
        <v>0</v>
      </c>
      <c r="AN9" s="390">
        <v>0</v>
      </c>
      <c r="AO9" s="169" t="s">
        <v>140</v>
      </c>
    </row>
    <row r="10" spans="1:41" ht="18.75" customHeight="1">
      <c r="A10" s="166" t="s">
        <v>141</v>
      </c>
      <c r="B10" s="459">
        <f aca="true" t="shared" si="1" ref="B10:B19">E10+H10+K10+N10+Q10+T10+W10+Z10+AC10+AF10+AI10+AL10</f>
        <v>0</v>
      </c>
      <c r="C10" s="458">
        <f>F10+I10+L10+O10+R10+U10+X10+AA10+AD10+AG10+AJ10+AM10</f>
        <v>0</v>
      </c>
      <c r="D10" s="458">
        <f>G10+J10+M10+P10+S10+V10+Y10+AB10+AE10+AH10+AK10+AN10</f>
        <v>0</v>
      </c>
      <c r="E10" s="391">
        <v>0</v>
      </c>
      <c r="F10" s="392">
        <v>0</v>
      </c>
      <c r="G10" s="390">
        <v>0</v>
      </c>
      <c r="H10" s="391">
        <v>0</v>
      </c>
      <c r="I10" s="392">
        <v>0</v>
      </c>
      <c r="J10" s="390">
        <v>0</v>
      </c>
      <c r="K10" s="391">
        <v>0</v>
      </c>
      <c r="L10" s="392">
        <v>0</v>
      </c>
      <c r="M10" s="390">
        <v>0</v>
      </c>
      <c r="N10" s="391">
        <v>0</v>
      </c>
      <c r="O10" s="392">
        <v>0</v>
      </c>
      <c r="P10" s="390">
        <v>0</v>
      </c>
      <c r="Q10" s="391">
        <v>0</v>
      </c>
      <c r="R10" s="392">
        <v>0</v>
      </c>
      <c r="S10" s="390">
        <v>0</v>
      </c>
      <c r="T10" s="392">
        <v>0</v>
      </c>
      <c r="U10" s="392">
        <v>0</v>
      </c>
      <c r="V10" s="392">
        <v>0</v>
      </c>
      <c r="W10" s="391">
        <v>0</v>
      </c>
      <c r="X10" s="392">
        <v>0</v>
      </c>
      <c r="Y10" s="390">
        <v>0</v>
      </c>
      <c r="Z10" s="392">
        <v>0</v>
      </c>
      <c r="AA10" s="392">
        <v>0</v>
      </c>
      <c r="AB10" s="392">
        <v>0</v>
      </c>
      <c r="AC10" s="391">
        <v>0</v>
      </c>
      <c r="AD10" s="392">
        <v>0</v>
      </c>
      <c r="AE10" s="390">
        <v>0</v>
      </c>
      <c r="AF10" s="391">
        <v>0</v>
      </c>
      <c r="AG10" s="392">
        <v>0</v>
      </c>
      <c r="AH10" s="390">
        <v>0</v>
      </c>
      <c r="AI10" s="391">
        <v>0</v>
      </c>
      <c r="AJ10" s="392">
        <v>0</v>
      </c>
      <c r="AK10" s="390">
        <v>0</v>
      </c>
      <c r="AL10" s="391">
        <v>0</v>
      </c>
      <c r="AM10" s="392">
        <v>0</v>
      </c>
      <c r="AN10" s="390">
        <v>0</v>
      </c>
      <c r="AO10" s="169" t="s">
        <v>141</v>
      </c>
    </row>
    <row r="11" spans="1:41" ht="18.75" customHeight="1">
      <c r="A11" s="166" t="s">
        <v>142</v>
      </c>
      <c r="B11" s="459">
        <f t="shared" si="1"/>
        <v>0</v>
      </c>
      <c r="C11" s="458">
        <f>F11+I11+L11+O11+R11+U11+X11+AA11+AD11+AG11+AJ11+AM11</f>
        <v>0</v>
      </c>
      <c r="D11" s="458">
        <f aca="true" t="shared" si="2" ref="D11:D18">G11+J11+M11+P11+S11+V11+Y11+AB11+AE11+AH11+AK11+AN11</f>
        <v>0</v>
      </c>
      <c r="E11" s="391">
        <v>0</v>
      </c>
      <c r="F11" s="392">
        <v>0</v>
      </c>
      <c r="G11" s="390">
        <v>0</v>
      </c>
      <c r="H11" s="391">
        <v>0</v>
      </c>
      <c r="I11" s="392">
        <v>0</v>
      </c>
      <c r="J11" s="390">
        <v>0</v>
      </c>
      <c r="K11" s="391">
        <v>0</v>
      </c>
      <c r="L11" s="392">
        <v>0</v>
      </c>
      <c r="M11" s="390">
        <v>0</v>
      </c>
      <c r="N11" s="391">
        <v>0</v>
      </c>
      <c r="O11" s="392">
        <v>0</v>
      </c>
      <c r="P11" s="390">
        <v>0</v>
      </c>
      <c r="Q11" s="391">
        <v>0</v>
      </c>
      <c r="R11" s="392">
        <v>0</v>
      </c>
      <c r="S11" s="390">
        <v>0</v>
      </c>
      <c r="T11" s="392">
        <v>0</v>
      </c>
      <c r="U11" s="392">
        <v>0</v>
      </c>
      <c r="V11" s="392">
        <v>0</v>
      </c>
      <c r="W11" s="391">
        <v>0</v>
      </c>
      <c r="X11" s="392">
        <v>0</v>
      </c>
      <c r="Y11" s="390">
        <v>0</v>
      </c>
      <c r="Z11" s="392">
        <v>0</v>
      </c>
      <c r="AA11" s="392">
        <v>0</v>
      </c>
      <c r="AB11" s="392">
        <v>0</v>
      </c>
      <c r="AC11" s="391">
        <v>0</v>
      </c>
      <c r="AD11" s="392">
        <v>0</v>
      </c>
      <c r="AE11" s="390">
        <v>0</v>
      </c>
      <c r="AF11" s="391">
        <v>0</v>
      </c>
      <c r="AG11" s="392">
        <v>0</v>
      </c>
      <c r="AH11" s="390">
        <v>0</v>
      </c>
      <c r="AI11" s="391">
        <v>0</v>
      </c>
      <c r="AJ11" s="392">
        <v>0</v>
      </c>
      <c r="AK11" s="390">
        <v>0</v>
      </c>
      <c r="AL11" s="391">
        <v>0</v>
      </c>
      <c r="AM11" s="392">
        <v>0</v>
      </c>
      <c r="AN11" s="390">
        <v>0</v>
      </c>
      <c r="AO11" s="169" t="s">
        <v>142</v>
      </c>
    </row>
    <row r="12" spans="1:41" ht="18.75" customHeight="1">
      <c r="A12" s="166" t="s">
        <v>143</v>
      </c>
      <c r="B12" s="459">
        <f t="shared" si="1"/>
        <v>0</v>
      </c>
      <c r="C12" s="458">
        <f>F12+I12+L12+O12+R12+U12+X12+AA12+AD12+AG12+AJ12+AM12</f>
        <v>0</v>
      </c>
      <c r="D12" s="458">
        <f t="shared" si="2"/>
        <v>0</v>
      </c>
      <c r="E12" s="391">
        <v>0</v>
      </c>
      <c r="F12" s="392">
        <v>0</v>
      </c>
      <c r="G12" s="390">
        <v>0</v>
      </c>
      <c r="H12" s="391">
        <v>0</v>
      </c>
      <c r="I12" s="392">
        <v>0</v>
      </c>
      <c r="J12" s="390">
        <v>0</v>
      </c>
      <c r="K12" s="391">
        <v>0</v>
      </c>
      <c r="L12" s="392">
        <v>0</v>
      </c>
      <c r="M12" s="390">
        <v>0</v>
      </c>
      <c r="N12" s="391">
        <v>0</v>
      </c>
      <c r="O12" s="392">
        <v>0</v>
      </c>
      <c r="P12" s="390">
        <v>0</v>
      </c>
      <c r="Q12" s="391">
        <v>0</v>
      </c>
      <c r="R12" s="392">
        <v>0</v>
      </c>
      <c r="S12" s="390">
        <v>0</v>
      </c>
      <c r="T12" s="392">
        <v>0</v>
      </c>
      <c r="U12" s="392">
        <v>0</v>
      </c>
      <c r="V12" s="392">
        <v>0</v>
      </c>
      <c r="W12" s="391">
        <v>0</v>
      </c>
      <c r="X12" s="392">
        <v>0</v>
      </c>
      <c r="Y12" s="390">
        <v>0</v>
      </c>
      <c r="Z12" s="392">
        <v>0</v>
      </c>
      <c r="AA12" s="392">
        <v>0</v>
      </c>
      <c r="AB12" s="392">
        <v>0</v>
      </c>
      <c r="AC12" s="391">
        <v>0</v>
      </c>
      <c r="AD12" s="392">
        <v>0</v>
      </c>
      <c r="AE12" s="390">
        <v>0</v>
      </c>
      <c r="AF12" s="391">
        <v>0</v>
      </c>
      <c r="AG12" s="392">
        <v>0</v>
      </c>
      <c r="AH12" s="390">
        <v>0</v>
      </c>
      <c r="AI12" s="391">
        <v>0</v>
      </c>
      <c r="AJ12" s="392">
        <v>0</v>
      </c>
      <c r="AK12" s="390">
        <v>0</v>
      </c>
      <c r="AL12" s="391">
        <v>0</v>
      </c>
      <c r="AM12" s="392">
        <v>0</v>
      </c>
      <c r="AN12" s="390">
        <v>0</v>
      </c>
      <c r="AO12" s="169" t="s">
        <v>143</v>
      </c>
    </row>
    <row r="13" spans="1:41" ht="18.75" customHeight="1">
      <c r="A13" s="166" t="s">
        <v>144</v>
      </c>
      <c r="B13" s="459">
        <f t="shared" si="1"/>
        <v>0</v>
      </c>
      <c r="C13" s="458">
        <f aca="true" t="shared" si="3" ref="C13:C19">F13+I13+L13+O13+R13+U13+X13+AA13+AD13+AG13+AJ13+AM13</f>
        <v>0</v>
      </c>
      <c r="D13" s="458">
        <f t="shared" si="2"/>
        <v>0</v>
      </c>
      <c r="E13" s="391">
        <v>0</v>
      </c>
      <c r="F13" s="392">
        <v>0</v>
      </c>
      <c r="G13" s="390">
        <v>0</v>
      </c>
      <c r="H13" s="391">
        <v>0</v>
      </c>
      <c r="I13" s="392">
        <v>0</v>
      </c>
      <c r="J13" s="390">
        <v>0</v>
      </c>
      <c r="K13" s="391">
        <v>0</v>
      </c>
      <c r="L13" s="392">
        <v>0</v>
      </c>
      <c r="M13" s="390">
        <v>0</v>
      </c>
      <c r="N13" s="391">
        <v>0</v>
      </c>
      <c r="O13" s="392">
        <v>0</v>
      </c>
      <c r="P13" s="390">
        <v>0</v>
      </c>
      <c r="Q13" s="391">
        <v>0</v>
      </c>
      <c r="R13" s="392">
        <v>0</v>
      </c>
      <c r="S13" s="390">
        <v>0</v>
      </c>
      <c r="T13" s="392">
        <v>0</v>
      </c>
      <c r="U13" s="392">
        <v>0</v>
      </c>
      <c r="V13" s="392">
        <v>0</v>
      </c>
      <c r="W13" s="391">
        <v>0</v>
      </c>
      <c r="X13" s="392">
        <v>0</v>
      </c>
      <c r="Y13" s="390">
        <v>0</v>
      </c>
      <c r="Z13" s="392">
        <v>0</v>
      </c>
      <c r="AA13" s="392">
        <v>0</v>
      </c>
      <c r="AB13" s="392">
        <v>0</v>
      </c>
      <c r="AC13" s="391">
        <v>0</v>
      </c>
      <c r="AD13" s="392">
        <v>0</v>
      </c>
      <c r="AE13" s="390">
        <v>0</v>
      </c>
      <c r="AF13" s="391">
        <v>0</v>
      </c>
      <c r="AG13" s="392">
        <v>0</v>
      </c>
      <c r="AH13" s="390">
        <v>0</v>
      </c>
      <c r="AI13" s="391">
        <v>0</v>
      </c>
      <c r="AJ13" s="392">
        <v>0</v>
      </c>
      <c r="AK13" s="390">
        <v>0</v>
      </c>
      <c r="AL13" s="391">
        <v>0</v>
      </c>
      <c r="AM13" s="392">
        <v>0</v>
      </c>
      <c r="AN13" s="390">
        <v>0</v>
      </c>
      <c r="AO13" s="169" t="s">
        <v>144</v>
      </c>
    </row>
    <row r="14" spans="1:41" ht="18.75" customHeight="1">
      <c r="A14" s="166" t="s">
        <v>145</v>
      </c>
      <c r="B14" s="459">
        <f t="shared" si="1"/>
        <v>17</v>
      </c>
      <c r="C14" s="458">
        <f t="shared" si="3"/>
        <v>261</v>
      </c>
      <c r="D14" s="458">
        <f t="shared" si="2"/>
        <v>0</v>
      </c>
      <c r="E14" s="391">
        <v>0</v>
      </c>
      <c r="F14" s="392">
        <v>0</v>
      </c>
      <c r="G14" s="390">
        <v>0</v>
      </c>
      <c r="H14" s="391">
        <v>0</v>
      </c>
      <c r="I14" s="392">
        <v>0</v>
      </c>
      <c r="J14" s="390">
        <v>0</v>
      </c>
      <c r="K14" s="391">
        <v>0</v>
      </c>
      <c r="L14" s="392">
        <v>0</v>
      </c>
      <c r="M14" s="390">
        <v>0</v>
      </c>
      <c r="N14" s="391">
        <v>0</v>
      </c>
      <c r="O14" s="392">
        <v>0</v>
      </c>
      <c r="P14" s="390">
        <v>0</v>
      </c>
      <c r="Q14" s="391">
        <v>3</v>
      </c>
      <c r="R14" s="392">
        <f>24+6+20</f>
        <v>50</v>
      </c>
      <c r="S14" s="390">
        <v>0</v>
      </c>
      <c r="T14" s="392">
        <v>6</v>
      </c>
      <c r="U14" s="392">
        <f>8+17+5+5+13+14</f>
        <v>62</v>
      </c>
      <c r="V14" s="392">
        <v>0</v>
      </c>
      <c r="W14" s="391">
        <v>0</v>
      </c>
      <c r="X14" s="392">
        <v>0</v>
      </c>
      <c r="Y14" s="390">
        <v>0</v>
      </c>
      <c r="Z14" s="392">
        <v>2</v>
      </c>
      <c r="AA14" s="392">
        <v>12</v>
      </c>
      <c r="AB14" s="392">
        <v>0</v>
      </c>
      <c r="AC14" s="391">
        <v>0</v>
      </c>
      <c r="AD14" s="392">
        <v>0</v>
      </c>
      <c r="AE14" s="390">
        <v>0</v>
      </c>
      <c r="AF14" s="392">
        <v>1</v>
      </c>
      <c r="AG14" s="392">
        <v>6</v>
      </c>
      <c r="AH14" s="392"/>
      <c r="AI14" s="391">
        <v>1</v>
      </c>
      <c r="AJ14" s="392">
        <v>53</v>
      </c>
      <c r="AK14" s="390"/>
      <c r="AL14" s="392">
        <v>4</v>
      </c>
      <c r="AM14" s="392">
        <f>18+21+25+14</f>
        <v>78</v>
      </c>
      <c r="AN14" s="392"/>
      <c r="AO14" s="169" t="s">
        <v>145</v>
      </c>
    </row>
    <row r="15" spans="1:41" ht="18.75" customHeight="1">
      <c r="A15" s="166" t="s">
        <v>146</v>
      </c>
      <c r="B15" s="459">
        <f t="shared" si="1"/>
        <v>0</v>
      </c>
      <c r="C15" s="458">
        <f t="shared" si="3"/>
        <v>0</v>
      </c>
      <c r="D15" s="458">
        <f t="shared" si="2"/>
        <v>0</v>
      </c>
      <c r="E15" s="391">
        <v>0</v>
      </c>
      <c r="F15" s="392">
        <v>0</v>
      </c>
      <c r="G15" s="390">
        <v>0</v>
      </c>
      <c r="H15" s="391">
        <v>0</v>
      </c>
      <c r="I15" s="392">
        <v>0</v>
      </c>
      <c r="J15" s="390">
        <v>0</v>
      </c>
      <c r="K15" s="391">
        <v>0</v>
      </c>
      <c r="L15" s="392">
        <v>0</v>
      </c>
      <c r="M15" s="390">
        <v>0</v>
      </c>
      <c r="N15" s="391">
        <v>0</v>
      </c>
      <c r="O15" s="392">
        <v>0</v>
      </c>
      <c r="P15" s="390">
        <v>0</v>
      </c>
      <c r="Q15" s="391">
        <v>0</v>
      </c>
      <c r="R15" s="392">
        <v>0</v>
      </c>
      <c r="S15" s="390">
        <v>0</v>
      </c>
      <c r="T15" s="392">
        <v>0</v>
      </c>
      <c r="U15" s="392">
        <v>0</v>
      </c>
      <c r="V15" s="392">
        <v>0</v>
      </c>
      <c r="W15" s="391">
        <v>0</v>
      </c>
      <c r="X15" s="392">
        <v>0</v>
      </c>
      <c r="Y15" s="390">
        <v>0</v>
      </c>
      <c r="Z15" s="392">
        <v>0</v>
      </c>
      <c r="AA15" s="392">
        <v>0</v>
      </c>
      <c r="AB15" s="392">
        <v>0</v>
      </c>
      <c r="AC15" s="391">
        <v>0</v>
      </c>
      <c r="AD15" s="392">
        <v>0</v>
      </c>
      <c r="AE15" s="390">
        <v>0</v>
      </c>
      <c r="AF15" s="391">
        <v>0</v>
      </c>
      <c r="AG15" s="392">
        <v>0</v>
      </c>
      <c r="AH15" s="390">
        <v>0</v>
      </c>
      <c r="AI15" s="391">
        <v>0</v>
      </c>
      <c r="AJ15" s="392">
        <v>0</v>
      </c>
      <c r="AK15" s="390">
        <v>0</v>
      </c>
      <c r="AL15" s="391">
        <v>0</v>
      </c>
      <c r="AM15" s="392">
        <v>0</v>
      </c>
      <c r="AN15" s="390">
        <v>0</v>
      </c>
      <c r="AO15" s="169" t="s">
        <v>146</v>
      </c>
    </row>
    <row r="16" spans="1:41" ht="18.75" customHeight="1">
      <c r="A16" s="166" t="s">
        <v>147</v>
      </c>
      <c r="B16" s="459">
        <f t="shared" si="1"/>
        <v>0</v>
      </c>
      <c r="C16" s="458">
        <f t="shared" si="3"/>
        <v>0</v>
      </c>
      <c r="D16" s="458">
        <f t="shared" si="2"/>
        <v>0</v>
      </c>
      <c r="E16" s="391">
        <v>0</v>
      </c>
      <c r="F16" s="392">
        <v>0</v>
      </c>
      <c r="G16" s="390">
        <v>0</v>
      </c>
      <c r="H16" s="391">
        <v>0</v>
      </c>
      <c r="I16" s="392">
        <v>0</v>
      </c>
      <c r="J16" s="390">
        <v>0</v>
      </c>
      <c r="K16" s="391">
        <v>0</v>
      </c>
      <c r="L16" s="392">
        <v>0</v>
      </c>
      <c r="M16" s="390">
        <v>0</v>
      </c>
      <c r="N16" s="391">
        <v>0</v>
      </c>
      <c r="O16" s="392">
        <v>0</v>
      </c>
      <c r="P16" s="390">
        <v>0</v>
      </c>
      <c r="Q16" s="391">
        <v>0</v>
      </c>
      <c r="R16" s="392">
        <v>0</v>
      </c>
      <c r="S16" s="390">
        <v>0</v>
      </c>
      <c r="T16" s="392">
        <v>0</v>
      </c>
      <c r="U16" s="392">
        <v>0</v>
      </c>
      <c r="V16" s="392">
        <v>0</v>
      </c>
      <c r="W16" s="391">
        <v>0</v>
      </c>
      <c r="X16" s="392">
        <v>0</v>
      </c>
      <c r="Y16" s="390">
        <v>0</v>
      </c>
      <c r="Z16" s="392">
        <v>0</v>
      </c>
      <c r="AA16" s="392">
        <v>0</v>
      </c>
      <c r="AB16" s="392">
        <v>0</v>
      </c>
      <c r="AC16" s="391">
        <v>0</v>
      </c>
      <c r="AD16" s="392">
        <v>0</v>
      </c>
      <c r="AE16" s="390">
        <v>0</v>
      </c>
      <c r="AF16" s="391">
        <v>0</v>
      </c>
      <c r="AG16" s="392">
        <v>0</v>
      </c>
      <c r="AH16" s="390">
        <v>0</v>
      </c>
      <c r="AI16" s="391">
        <v>0</v>
      </c>
      <c r="AJ16" s="392">
        <v>0</v>
      </c>
      <c r="AK16" s="390">
        <v>0</v>
      </c>
      <c r="AL16" s="391">
        <v>0</v>
      </c>
      <c r="AM16" s="392">
        <v>0</v>
      </c>
      <c r="AN16" s="390">
        <v>0</v>
      </c>
      <c r="AO16" s="169" t="s">
        <v>147</v>
      </c>
    </row>
    <row r="17" spans="1:41" ht="18.75" customHeight="1">
      <c r="A17" s="166" t="s">
        <v>148</v>
      </c>
      <c r="B17" s="459">
        <f t="shared" si="1"/>
        <v>0</v>
      </c>
      <c r="C17" s="458">
        <f t="shared" si="3"/>
        <v>0</v>
      </c>
      <c r="D17" s="458">
        <f t="shared" si="2"/>
        <v>0</v>
      </c>
      <c r="E17" s="391">
        <v>0</v>
      </c>
      <c r="F17" s="392">
        <v>0</v>
      </c>
      <c r="G17" s="390">
        <v>0</v>
      </c>
      <c r="H17" s="391">
        <v>0</v>
      </c>
      <c r="I17" s="392">
        <v>0</v>
      </c>
      <c r="J17" s="390">
        <v>0</v>
      </c>
      <c r="K17" s="391">
        <v>0</v>
      </c>
      <c r="L17" s="392">
        <v>0</v>
      </c>
      <c r="M17" s="390">
        <v>0</v>
      </c>
      <c r="N17" s="391">
        <v>0</v>
      </c>
      <c r="O17" s="392">
        <v>0</v>
      </c>
      <c r="P17" s="390">
        <v>0</v>
      </c>
      <c r="Q17" s="391">
        <v>0</v>
      </c>
      <c r="R17" s="392">
        <v>0</v>
      </c>
      <c r="S17" s="390">
        <v>0</v>
      </c>
      <c r="T17" s="392">
        <v>0</v>
      </c>
      <c r="U17" s="392">
        <v>0</v>
      </c>
      <c r="V17" s="392">
        <v>0</v>
      </c>
      <c r="W17" s="391">
        <v>0</v>
      </c>
      <c r="X17" s="392">
        <v>0</v>
      </c>
      <c r="Y17" s="390">
        <v>0</v>
      </c>
      <c r="Z17" s="392">
        <v>0</v>
      </c>
      <c r="AA17" s="392">
        <v>0</v>
      </c>
      <c r="AB17" s="392">
        <v>0</v>
      </c>
      <c r="AC17" s="391">
        <v>0</v>
      </c>
      <c r="AD17" s="392">
        <v>0</v>
      </c>
      <c r="AE17" s="390">
        <v>0</v>
      </c>
      <c r="AF17" s="391">
        <v>0</v>
      </c>
      <c r="AG17" s="392">
        <v>0</v>
      </c>
      <c r="AH17" s="390">
        <v>0</v>
      </c>
      <c r="AI17" s="391">
        <v>0</v>
      </c>
      <c r="AJ17" s="392">
        <v>0</v>
      </c>
      <c r="AK17" s="390">
        <v>0</v>
      </c>
      <c r="AL17" s="391">
        <v>0</v>
      </c>
      <c r="AM17" s="392">
        <v>0</v>
      </c>
      <c r="AN17" s="390">
        <v>0</v>
      </c>
      <c r="AO17" s="169" t="s">
        <v>148</v>
      </c>
    </row>
    <row r="18" spans="1:41" ht="18.75" customHeight="1">
      <c r="A18" s="166" t="s">
        <v>130</v>
      </c>
      <c r="B18" s="459">
        <f t="shared" si="1"/>
        <v>0</v>
      </c>
      <c r="C18" s="458">
        <f t="shared" si="3"/>
        <v>0</v>
      </c>
      <c r="D18" s="458">
        <f t="shared" si="2"/>
        <v>0</v>
      </c>
      <c r="E18" s="391">
        <v>0</v>
      </c>
      <c r="F18" s="392">
        <v>0</v>
      </c>
      <c r="G18" s="390">
        <v>0</v>
      </c>
      <c r="H18" s="391">
        <v>0</v>
      </c>
      <c r="I18" s="392">
        <v>0</v>
      </c>
      <c r="J18" s="390">
        <v>0</v>
      </c>
      <c r="K18" s="391">
        <v>0</v>
      </c>
      <c r="L18" s="392">
        <v>0</v>
      </c>
      <c r="M18" s="390">
        <v>0</v>
      </c>
      <c r="N18" s="391">
        <v>0</v>
      </c>
      <c r="O18" s="392">
        <v>0</v>
      </c>
      <c r="P18" s="390">
        <v>0</v>
      </c>
      <c r="Q18" s="391">
        <v>0</v>
      </c>
      <c r="R18" s="392">
        <v>0</v>
      </c>
      <c r="S18" s="390">
        <v>0</v>
      </c>
      <c r="T18" s="392">
        <v>0</v>
      </c>
      <c r="U18" s="392">
        <v>0</v>
      </c>
      <c r="V18" s="392">
        <v>0</v>
      </c>
      <c r="W18" s="391">
        <v>0</v>
      </c>
      <c r="X18" s="392">
        <v>0</v>
      </c>
      <c r="Y18" s="390">
        <v>0</v>
      </c>
      <c r="Z18" s="392">
        <v>0</v>
      </c>
      <c r="AA18" s="392">
        <v>0</v>
      </c>
      <c r="AB18" s="392">
        <v>0</v>
      </c>
      <c r="AC18" s="391">
        <v>0</v>
      </c>
      <c r="AD18" s="392">
        <v>0</v>
      </c>
      <c r="AE18" s="390">
        <v>0</v>
      </c>
      <c r="AF18" s="391">
        <v>0</v>
      </c>
      <c r="AG18" s="392">
        <v>0</v>
      </c>
      <c r="AH18" s="390">
        <v>0</v>
      </c>
      <c r="AI18" s="391">
        <v>0</v>
      </c>
      <c r="AJ18" s="392">
        <v>0</v>
      </c>
      <c r="AK18" s="390">
        <v>0</v>
      </c>
      <c r="AL18" s="391">
        <v>0</v>
      </c>
      <c r="AM18" s="392">
        <v>0</v>
      </c>
      <c r="AN18" s="390">
        <v>0</v>
      </c>
      <c r="AO18" s="169" t="s">
        <v>130</v>
      </c>
    </row>
    <row r="19" spans="1:41" ht="18.75" customHeight="1">
      <c r="A19" s="166" t="s">
        <v>110</v>
      </c>
      <c r="B19" s="459">
        <f t="shared" si="1"/>
        <v>0</v>
      </c>
      <c r="C19" s="458">
        <f t="shared" si="3"/>
        <v>0</v>
      </c>
      <c r="D19" s="458">
        <f>G19+J19+M19+P19+S19+V19+Y19+AB19+AE19+AH19+AK19+AN19</f>
        <v>0</v>
      </c>
      <c r="E19" s="391">
        <v>0</v>
      </c>
      <c r="F19" s="392">
        <v>0</v>
      </c>
      <c r="G19" s="390">
        <v>0</v>
      </c>
      <c r="H19" s="391">
        <v>0</v>
      </c>
      <c r="I19" s="392">
        <v>0</v>
      </c>
      <c r="J19" s="390">
        <v>0</v>
      </c>
      <c r="K19" s="391">
        <v>0</v>
      </c>
      <c r="L19" s="392">
        <v>0</v>
      </c>
      <c r="M19" s="390">
        <v>0</v>
      </c>
      <c r="N19" s="391">
        <v>0</v>
      </c>
      <c r="O19" s="392">
        <v>0</v>
      </c>
      <c r="P19" s="390">
        <v>0</v>
      </c>
      <c r="Q19" s="391">
        <v>0</v>
      </c>
      <c r="R19" s="392">
        <v>0</v>
      </c>
      <c r="S19" s="390">
        <v>0</v>
      </c>
      <c r="T19" s="392">
        <v>0</v>
      </c>
      <c r="U19" s="392">
        <v>0</v>
      </c>
      <c r="V19" s="392">
        <v>0</v>
      </c>
      <c r="W19" s="391">
        <v>0</v>
      </c>
      <c r="X19" s="392">
        <v>0</v>
      </c>
      <c r="Y19" s="390">
        <v>0</v>
      </c>
      <c r="Z19" s="392">
        <v>0</v>
      </c>
      <c r="AA19" s="392">
        <v>0</v>
      </c>
      <c r="AB19" s="392">
        <v>0</v>
      </c>
      <c r="AC19" s="391">
        <v>0</v>
      </c>
      <c r="AD19" s="392">
        <v>0</v>
      </c>
      <c r="AE19" s="390">
        <v>0</v>
      </c>
      <c r="AF19" s="391">
        <v>0</v>
      </c>
      <c r="AG19" s="392">
        <v>0</v>
      </c>
      <c r="AH19" s="390">
        <v>0</v>
      </c>
      <c r="AI19" s="391">
        <v>0</v>
      </c>
      <c r="AJ19" s="392">
        <v>0</v>
      </c>
      <c r="AK19" s="390">
        <v>0</v>
      </c>
      <c r="AL19" s="391">
        <v>0</v>
      </c>
      <c r="AM19" s="392">
        <v>0</v>
      </c>
      <c r="AN19" s="390">
        <v>0</v>
      </c>
      <c r="AO19" s="169" t="s">
        <v>110</v>
      </c>
    </row>
    <row r="20" spans="1:41" ht="18.75" customHeight="1" thickBot="1">
      <c r="A20" s="126" t="s">
        <v>139</v>
      </c>
      <c r="B20" s="468">
        <f>E20+H20+K20+N20+Q20+T20+W20+Z20+AC20+AF20+AI20+AL20</f>
        <v>2</v>
      </c>
      <c r="C20" s="469">
        <f>F20+I20+L20+O20+R20+U20+X20+AA20+AD20+AG20+AJ20+AM20</f>
        <v>79</v>
      </c>
      <c r="D20" s="469">
        <f>G20+J20+M20+P20+S20+V20+Y20+AB20+AE20+AH20+AK20+AN20</f>
        <v>0</v>
      </c>
      <c r="E20" s="394">
        <v>0</v>
      </c>
      <c r="F20" s="395">
        <v>0</v>
      </c>
      <c r="G20" s="393">
        <v>0</v>
      </c>
      <c r="H20" s="394">
        <v>0</v>
      </c>
      <c r="I20" s="395">
        <v>0</v>
      </c>
      <c r="J20" s="393">
        <v>0</v>
      </c>
      <c r="K20" s="394">
        <v>0</v>
      </c>
      <c r="L20" s="395">
        <v>0</v>
      </c>
      <c r="M20" s="393">
        <v>0</v>
      </c>
      <c r="N20" s="394">
        <v>0</v>
      </c>
      <c r="O20" s="395">
        <v>0</v>
      </c>
      <c r="P20" s="393">
        <v>0</v>
      </c>
      <c r="Q20" s="394">
        <v>0</v>
      </c>
      <c r="R20" s="395">
        <v>0</v>
      </c>
      <c r="S20" s="393">
        <v>0</v>
      </c>
      <c r="T20" s="395">
        <v>1</v>
      </c>
      <c r="U20" s="395">
        <v>69</v>
      </c>
      <c r="V20" s="395">
        <v>0</v>
      </c>
      <c r="W20" s="394">
        <v>0</v>
      </c>
      <c r="X20" s="395">
        <v>0</v>
      </c>
      <c r="Y20" s="393">
        <v>0</v>
      </c>
      <c r="Z20" s="395">
        <v>1</v>
      </c>
      <c r="AA20" s="395">
        <v>10</v>
      </c>
      <c r="AB20" s="395">
        <v>0</v>
      </c>
      <c r="AC20" s="394">
        <v>0</v>
      </c>
      <c r="AD20" s="395">
        <v>0</v>
      </c>
      <c r="AE20" s="393">
        <v>0</v>
      </c>
      <c r="AF20" s="395">
        <v>0</v>
      </c>
      <c r="AG20" s="395">
        <v>0</v>
      </c>
      <c r="AH20" s="395">
        <v>0</v>
      </c>
      <c r="AI20" s="394">
        <v>0</v>
      </c>
      <c r="AJ20" s="395">
        <v>0</v>
      </c>
      <c r="AK20" s="393"/>
      <c r="AL20" s="395">
        <v>0</v>
      </c>
      <c r="AM20" s="395">
        <v>0</v>
      </c>
      <c r="AN20" s="395">
        <v>0</v>
      </c>
      <c r="AO20" s="170" t="s">
        <v>139</v>
      </c>
    </row>
    <row r="21" spans="1:41" ht="18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114"/>
      <c r="M21" s="45"/>
      <c r="N21" s="45"/>
      <c r="O21" s="45"/>
      <c r="P21" s="45"/>
      <c r="Q21" s="45"/>
      <c r="R21" s="45"/>
      <c r="S21" s="45"/>
      <c r="T21" s="114"/>
      <c r="U21" s="114"/>
      <c r="V21" s="114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O21" s="47" t="s">
        <v>278</v>
      </c>
    </row>
    <row r="22" spans="1:41" ht="18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14"/>
      <c r="M22" s="45"/>
      <c r="N22" s="45"/>
      <c r="O22" s="45"/>
      <c r="P22" s="45"/>
      <c r="Q22" s="45"/>
      <c r="R22" s="45"/>
      <c r="S22" s="45"/>
      <c r="T22" s="114"/>
      <c r="U22" s="114"/>
      <c r="V22" s="114"/>
      <c r="W22" s="45"/>
      <c r="X22" s="45"/>
      <c r="Y22" s="45"/>
      <c r="Z22" s="27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O22" s="47"/>
    </row>
    <row r="23" spans="1:41" ht="18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14"/>
      <c r="M23" s="45"/>
      <c r="N23" s="45"/>
      <c r="O23" s="45"/>
      <c r="P23" s="45"/>
      <c r="Q23" s="45"/>
      <c r="R23" s="45"/>
      <c r="S23" s="45"/>
      <c r="T23" s="114"/>
      <c r="U23" s="114"/>
      <c r="V23" s="114"/>
      <c r="W23" s="45"/>
      <c r="X23" s="45"/>
      <c r="Y23" s="45"/>
      <c r="Z23" s="100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O23" s="47"/>
    </row>
    <row r="24" spans="1:41" ht="18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14"/>
      <c r="M24" s="45"/>
      <c r="N24" s="45"/>
      <c r="O24" s="45"/>
      <c r="P24" s="45"/>
      <c r="Q24" s="45"/>
      <c r="R24" s="45"/>
      <c r="S24" s="45"/>
      <c r="T24" s="114"/>
      <c r="U24" s="114"/>
      <c r="V24" s="114"/>
      <c r="W24" s="45"/>
      <c r="X24" s="45"/>
      <c r="Y24" s="45"/>
      <c r="Z24" s="100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O24" s="47"/>
    </row>
    <row r="25" spans="1:41" ht="18.75" customHeight="1">
      <c r="A25" s="113" t="s">
        <v>292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14"/>
      <c r="U25" s="114"/>
      <c r="V25" s="114"/>
      <c r="W25" s="45"/>
      <c r="X25" s="45"/>
      <c r="Y25" s="45"/>
      <c r="Z25" s="27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113"/>
    </row>
    <row r="26" spans="1:42" ht="18.75" customHeight="1" thickBo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590" t="s">
        <v>277</v>
      </c>
      <c r="AM26" s="590"/>
      <c r="AN26" s="590"/>
      <c r="AO26" s="162" t="s">
        <v>302</v>
      </c>
      <c r="AP26" s="3"/>
    </row>
    <row r="27" spans="1:43" s="4" customFormat="1" ht="18.75" customHeight="1">
      <c r="A27" s="129" t="s">
        <v>125</v>
      </c>
      <c r="B27" s="164" t="s">
        <v>123</v>
      </c>
      <c r="C27" s="117"/>
      <c r="D27" s="118" t="s">
        <v>124</v>
      </c>
      <c r="E27" s="135" t="s">
        <v>248</v>
      </c>
      <c r="F27" s="117"/>
      <c r="G27" s="117" t="s">
        <v>125</v>
      </c>
      <c r="H27" s="165" t="s">
        <v>249</v>
      </c>
      <c r="I27" s="117"/>
      <c r="J27" s="118" t="s">
        <v>125</v>
      </c>
      <c r="K27" s="135" t="s">
        <v>1</v>
      </c>
      <c r="L27" s="117"/>
      <c r="M27" s="117" t="s">
        <v>125</v>
      </c>
      <c r="N27" s="165" t="s">
        <v>276</v>
      </c>
      <c r="O27" s="117"/>
      <c r="P27" s="118" t="s">
        <v>125</v>
      </c>
      <c r="Q27" s="135" t="s">
        <v>3</v>
      </c>
      <c r="R27" s="117"/>
      <c r="S27" s="118" t="s">
        <v>125</v>
      </c>
      <c r="T27" s="135" t="s">
        <v>4</v>
      </c>
      <c r="U27" s="117"/>
      <c r="V27" s="117" t="s">
        <v>125</v>
      </c>
      <c r="W27" s="165" t="s">
        <v>5</v>
      </c>
      <c r="X27" s="117"/>
      <c r="Y27" s="118" t="s">
        <v>125</v>
      </c>
      <c r="Z27" s="135" t="s">
        <v>6</v>
      </c>
      <c r="AA27" s="117"/>
      <c r="AB27" s="117" t="s">
        <v>125</v>
      </c>
      <c r="AC27" s="165" t="s">
        <v>7</v>
      </c>
      <c r="AD27" s="117"/>
      <c r="AE27" s="118" t="s">
        <v>125</v>
      </c>
      <c r="AF27" s="135" t="s">
        <v>8</v>
      </c>
      <c r="AG27" s="117"/>
      <c r="AH27" s="117" t="s">
        <v>125</v>
      </c>
      <c r="AI27" s="165" t="s">
        <v>9</v>
      </c>
      <c r="AJ27" s="117"/>
      <c r="AK27" s="118" t="s">
        <v>125</v>
      </c>
      <c r="AL27" s="135" t="s">
        <v>10</v>
      </c>
      <c r="AM27" s="117"/>
      <c r="AN27" s="117" t="s">
        <v>125</v>
      </c>
      <c r="AO27" s="174" t="s">
        <v>125</v>
      </c>
      <c r="AP27" s="20"/>
      <c r="AQ27" s="20"/>
    </row>
    <row r="28" spans="1:41" s="4" customFormat="1" ht="18.75" customHeight="1">
      <c r="A28" s="130"/>
      <c r="B28" s="119" t="s">
        <v>126</v>
      </c>
      <c r="C28" s="120" t="s">
        <v>127</v>
      </c>
      <c r="D28" s="119" t="s">
        <v>128</v>
      </c>
      <c r="E28" s="120" t="s">
        <v>126</v>
      </c>
      <c r="F28" s="119" t="s">
        <v>127</v>
      </c>
      <c r="G28" s="120" t="s">
        <v>128</v>
      </c>
      <c r="H28" s="119" t="s">
        <v>126</v>
      </c>
      <c r="I28" s="120" t="s">
        <v>127</v>
      </c>
      <c r="J28" s="119" t="s">
        <v>128</v>
      </c>
      <c r="K28" s="120" t="s">
        <v>126</v>
      </c>
      <c r="L28" s="119" t="s">
        <v>127</v>
      </c>
      <c r="M28" s="120" t="s">
        <v>128</v>
      </c>
      <c r="N28" s="119" t="s">
        <v>126</v>
      </c>
      <c r="O28" s="120" t="s">
        <v>127</v>
      </c>
      <c r="P28" s="119" t="s">
        <v>128</v>
      </c>
      <c r="Q28" s="120" t="s">
        <v>126</v>
      </c>
      <c r="R28" s="119" t="s">
        <v>127</v>
      </c>
      <c r="S28" s="127" t="s">
        <v>128</v>
      </c>
      <c r="T28" s="128" t="s">
        <v>126</v>
      </c>
      <c r="U28" s="120" t="s">
        <v>127</v>
      </c>
      <c r="V28" s="167" t="s">
        <v>128</v>
      </c>
      <c r="W28" s="168" t="s">
        <v>126</v>
      </c>
      <c r="X28" s="119" t="s">
        <v>127</v>
      </c>
      <c r="Y28" s="127" t="s">
        <v>128</v>
      </c>
      <c r="Z28" s="128" t="s">
        <v>126</v>
      </c>
      <c r="AA28" s="120" t="s">
        <v>127</v>
      </c>
      <c r="AB28" s="167" t="s">
        <v>128</v>
      </c>
      <c r="AC28" s="168" t="s">
        <v>126</v>
      </c>
      <c r="AD28" s="119" t="s">
        <v>127</v>
      </c>
      <c r="AE28" s="127" t="s">
        <v>128</v>
      </c>
      <c r="AF28" s="128" t="s">
        <v>126</v>
      </c>
      <c r="AG28" s="120" t="s">
        <v>127</v>
      </c>
      <c r="AH28" s="167" t="s">
        <v>128</v>
      </c>
      <c r="AI28" s="168" t="s">
        <v>126</v>
      </c>
      <c r="AJ28" s="119" t="s">
        <v>127</v>
      </c>
      <c r="AK28" s="127" t="s">
        <v>128</v>
      </c>
      <c r="AL28" s="128" t="s">
        <v>126</v>
      </c>
      <c r="AM28" s="119" t="s">
        <v>127</v>
      </c>
      <c r="AN28" s="120" t="s">
        <v>128</v>
      </c>
      <c r="AO28" s="175"/>
    </row>
    <row r="29" spans="1:41" s="4" customFormat="1" ht="18.75" customHeight="1">
      <c r="A29" s="130"/>
      <c r="B29" s="121"/>
      <c r="C29" s="120" t="s">
        <v>129</v>
      </c>
      <c r="D29" s="121" t="s">
        <v>129</v>
      </c>
      <c r="E29" s="120"/>
      <c r="F29" s="121" t="s">
        <v>129</v>
      </c>
      <c r="G29" s="120" t="s">
        <v>129</v>
      </c>
      <c r="H29" s="121"/>
      <c r="I29" s="120" t="s">
        <v>129</v>
      </c>
      <c r="J29" s="121" t="s">
        <v>129</v>
      </c>
      <c r="K29" s="120"/>
      <c r="L29" s="121" t="s">
        <v>129</v>
      </c>
      <c r="M29" s="120" t="s">
        <v>129</v>
      </c>
      <c r="N29" s="121"/>
      <c r="O29" s="120" t="s">
        <v>129</v>
      </c>
      <c r="P29" s="121" t="s">
        <v>129</v>
      </c>
      <c r="Q29" s="120"/>
      <c r="R29" s="121" t="s">
        <v>129</v>
      </c>
      <c r="S29" s="127" t="s">
        <v>129</v>
      </c>
      <c r="T29" s="127"/>
      <c r="U29" s="120" t="s">
        <v>129</v>
      </c>
      <c r="V29" s="168" t="s">
        <v>129</v>
      </c>
      <c r="W29" s="168"/>
      <c r="X29" s="121" t="s">
        <v>129</v>
      </c>
      <c r="Y29" s="127" t="s">
        <v>129</v>
      </c>
      <c r="Z29" s="127"/>
      <c r="AA29" s="120" t="s">
        <v>129</v>
      </c>
      <c r="AB29" s="168" t="s">
        <v>129</v>
      </c>
      <c r="AC29" s="168"/>
      <c r="AD29" s="121" t="s">
        <v>129</v>
      </c>
      <c r="AE29" s="127" t="s">
        <v>129</v>
      </c>
      <c r="AF29" s="127"/>
      <c r="AG29" s="120" t="s">
        <v>129</v>
      </c>
      <c r="AH29" s="168" t="s">
        <v>129</v>
      </c>
      <c r="AI29" s="168"/>
      <c r="AJ29" s="121" t="s">
        <v>129</v>
      </c>
      <c r="AK29" s="127" t="s">
        <v>129</v>
      </c>
      <c r="AL29" s="127"/>
      <c r="AM29" s="121" t="s">
        <v>129</v>
      </c>
      <c r="AN29" s="120" t="s">
        <v>129</v>
      </c>
      <c r="AO29" s="175"/>
    </row>
    <row r="30" spans="1:42" s="4" customFormat="1" ht="18.75" customHeight="1">
      <c r="A30" s="131" t="s">
        <v>131</v>
      </c>
      <c r="B30" s="122" t="s">
        <v>124</v>
      </c>
      <c r="C30" s="115" t="s">
        <v>124</v>
      </c>
      <c r="D30" s="122" t="s">
        <v>124</v>
      </c>
      <c r="E30" s="115" t="s">
        <v>124</v>
      </c>
      <c r="F30" s="122" t="s">
        <v>124</v>
      </c>
      <c r="G30" s="115" t="s">
        <v>124</v>
      </c>
      <c r="H30" s="122" t="s">
        <v>124</v>
      </c>
      <c r="I30" s="115" t="s">
        <v>124</v>
      </c>
      <c r="J30" s="122" t="s">
        <v>124</v>
      </c>
      <c r="K30" s="115" t="s">
        <v>124</v>
      </c>
      <c r="L30" s="122" t="s">
        <v>124</v>
      </c>
      <c r="M30" s="115" t="s">
        <v>124</v>
      </c>
      <c r="N30" s="122" t="s">
        <v>124</v>
      </c>
      <c r="O30" s="115" t="s">
        <v>124</v>
      </c>
      <c r="P30" s="122" t="s">
        <v>124</v>
      </c>
      <c r="Q30" s="115" t="s">
        <v>124</v>
      </c>
      <c r="R30" s="122" t="s">
        <v>124</v>
      </c>
      <c r="S30" s="116" t="s">
        <v>124</v>
      </c>
      <c r="T30" s="116" t="s">
        <v>124</v>
      </c>
      <c r="U30" s="115" t="s">
        <v>124</v>
      </c>
      <c r="V30" s="48" t="s">
        <v>124</v>
      </c>
      <c r="W30" s="48" t="s">
        <v>124</v>
      </c>
      <c r="X30" s="122" t="s">
        <v>124</v>
      </c>
      <c r="Y30" s="116" t="s">
        <v>124</v>
      </c>
      <c r="Z30" s="116" t="s">
        <v>124</v>
      </c>
      <c r="AA30" s="115" t="s">
        <v>124</v>
      </c>
      <c r="AB30" s="48" t="s">
        <v>124</v>
      </c>
      <c r="AC30" s="48" t="s">
        <v>124</v>
      </c>
      <c r="AD30" s="122" t="s">
        <v>124</v>
      </c>
      <c r="AE30" s="116" t="s">
        <v>124</v>
      </c>
      <c r="AF30" s="116" t="s">
        <v>124</v>
      </c>
      <c r="AG30" s="115" t="s">
        <v>124</v>
      </c>
      <c r="AH30" s="48" t="s">
        <v>124</v>
      </c>
      <c r="AI30" s="48" t="s">
        <v>124</v>
      </c>
      <c r="AJ30" s="122" t="s">
        <v>124</v>
      </c>
      <c r="AK30" s="116" t="s">
        <v>124</v>
      </c>
      <c r="AL30" s="116" t="s">
        <v>124</v>
      </c>
      <c r="AM30" s="122" t="s">
        <v>124</v>
      </c>
      <c r="AN30" s="115" t="s">
        <v>124</v>
      </c>
      <c r="AO30" s="176" t="s">
        <v>131</v>
      </c>
      <c r="AP30" s="20"/>
    </row>
    <row r="31" spans="1:41" ht="18.75" customHeight="1">
      <c r="A31" s="132" t="s">
        <v>30</v>
      </c>
      <c r="B31" s="459">
        <f>B33+B37+(SUM(B48:B51)+SUM(B40:B44))</f>
        <v>19</v>
      </c>
      <c r="C31" s="458">
        <f aca="true" t="shared" si="4" ref="C31:AN31">C33+C37+(SUM(C48:C51)+SUM(C40:C44))</f>
        <v>340</v>
      </c>
      <c r="D31" s="460">
        <f t="shared" si="4"/>
        <v>0</v>
      </c>
      <c r="E31" s="458">
        <f>E33+E37+(SUM(E48:E51)+SUM(E40:E44))</f>
        <v>0</v>
      </c>
      <c r="F31" s="458">
        <f t="shared" si="4"/>
        <v>0</v>
      </c>
      <c r="G31" s="458">
        <f t="shared" si="4"/>
        <v>0</v>
      </c>
      <c r="H31" s="459">
        <f t="shared" si="4"/>
        <v>0</v>
      </c>
      <c r="I31" s="458">
        <f t="shared" si="4"/>
        <v>0</v>
      </c>
      <c r="J31" s="460">
        <f t="shared" si="4"/>
        <v>0</v>
      </c>
      <c r="K31" s="458">
        <f t="shared" si="4"/>
        <v>0</v>
      </c>
      <c r="L31" s="458">
        <f t="shared" si="4"/>
        <v>0</v>
      </c>
      <c r="M31" s="458">
        <f t="shared" si="4"/>
        <v>0</v>
      </c>
      <c r="N31" s="459">
        <f t="shared" si="4"/>
        <v>0</v>
      </c>
      <c r="O31" s="458">
        <f t="shared" si="4"/>
        <v>0</v>
      </c>
      <c r="P31" s="460">
        <f t="shared" si="4"/>
        <v>0</v>
      </c>
      <c r="Q31" s="458">
        <f t="shared" si="4"/>
        <v>3</v>
      </c>
      <c r="R31" s="458">
        <f t="shared" si="4"/>
        <v>50</v>
      </c>
      <c r="S31" s="470">
        <f t="shared" si="4"/>
        <v>0</v>
      </c>
      <c r="T31" s="458">
        <f t="shared" si="4"/>
        <v>7</v>
      </c>
      <c r="U31" s="458">
        <f t="shared" si="4"/>
        <v>131</v>
      </c>
      <c r="V31" s="458">
        <f t="shared" si="4"/>
        <v>0</v>
      </c>
      <c r="W31" s="459">
        <f t="shared" si="4"/>
        <v>0</v>
      </c>
      <c r="X31" s="458">
        <f t="shared" si="4"/>
        <v>0</v>
      </c>
      <c r="Y31" s="460">
        <f t="shared" si="4"/>
        <v>0</v>
      </c>
      <c r="Z31" s="458">
        <f t="shared" si="4"/>
        <v>3</v>
      </c>
      <c r="AA31" s="458">
        <f t="shared" si="4"/>
        <v>22</v>
      </c>
      <c r="AB31" s="458">
        <f t="shared" si="4"/>
        <v>0</v>
      </c>
      <c r="AC31" s="459">
        <f t="shared" si="4"/>
        <v>0</v>
      </c>
      <c r="AD31" s="458">
        <f t="shared" si="4"/>
        <v>0</v>
      </c>
      <c r="AE31" s="460">
        <f t="shared" si="4"/>
        <v>0</v>
      </c>
      <c r="AF31" s="458">
        <f t="shared" si="4"/>
        <v>1</v>
      </c>
      <c r="AG31" s="458">
        <f t="shared" si="4"/>
        <v>6</v>
      </c>
      <c r="AH31" s="458">
        <f t="shared" si="4"/>
        <v>0</v>
      </c>
      <c r="AI31" s="459">
        <f t="shared" si="4"/>
        <v>1</v>
      </c>
      <c r="AJ31" s="458">
        <f t="shared" si="4"/>
        <v>53</v>
      </c>
      <c r="AK31" s="460">
        <f t="shared" si="4"/>
        <v>0</v>
      </c>
      <c r="AL31" s="458">
        <f t="shared" si="4"/>
        <v>4</v>
      </c>
      <c r="AM31" s="458">
        <f t="shared" si="4"/>
        <v>78</v>
      </c>
      <c r="AN31" s="458">
        <f t="shared" si="4"/>
        <v>0</v>
      </c>
      <c r="AO31" s="169" t="s">
        <v>30</v>
      </c>
    </row>
    <row r="32" spans="1:41" ht="18.75" customHeight="1">
      <c r="A32" s="130"/>
      <c r="B32" s="285"/>
      <c r="C32" s="286"/>
      <c r="D32" s="287"/>
      <c r="E32" s="286"/>
      <c r="F32" s="286"/>
      <c r="G32" s="286"/>
      <c r="H32" s="285"/>
      <c r="I32" s="286"/>
      <c r="J32" s="287"/>
      <c r="K32" s="286"/>
      <c r="L32" s="286"/>
      <c r="M32" s="286"/>
      <c r="N32" s="285"/>
      <c r="O32" s="286"/>
      <c r="P32" s="287"/>
      <c r="Q32" s="286"/>
      <c r="R32" s="286"/>
      <c r="S32" s="287"/>
      <c r="T32" s="286"/>
      <c r="U32" s="286"/>
      <c r="V32" s="286"/>
      <c r="W32" s="285"/>
      <c r="X32" s="286"/>
      <c r="Y32" s="287"/>
      <c r="Z32" s="286"/>
      <c r="AA32" s="286"/>
      <c r="AB32" s="286"/>
      <c r="AC32" s="285"/>
      <c r="AD32" s="286"/>
      <c r="AE32" s="287"/>
      <c r="AF32" s="286"/>
      <c r="AG32" s="286"/>
      <c r="AH32" s="286"/>
      <c r="AI32" s="285"/>
      <c r="AJ32" s="286"/>
      <c r="AK32" s="287"/>
      <c r="AL32" s="286"/>
      <c r="AM32" s="286"/>
      <c r="AN32" s="286"/>
      <c r="AO32" s="169"/>
    </row>
    <row r="33" spans="1:41" ht="18.75" customHeight="1">
      <c r="A33" s="132" t="s">
        <v>136</v>
      </c>
      <c r="B33" s="459">
        <f>SUM(B34:B36)</f>
        <v>3</v>
      </c>
      <c r="C33" s="458">
        <f>SUM(C34:C36)</f>
        <v>66</v>
      </c>
      <c r="D33" s="460">
        <f>SUM(D34:D36)</f>
        <v>0</v>
      </c>
      <c r="E33" s="458">
        <f>SUM(E34:E36)</f>
        <v>0</v>
      </c>
      <c r="F33" s="458">
        <f aca="true" t="shared" si="5" ref="F33:AN33">SUM(F34:F36)</f>
        <v>0</v>
      </c>
      <c r="G33" s="460">
        <f t="shared" si="5"/>
        <v>0</v>
      </c>
      <c r="H33" s="458">
        <f t="shared" si="5"/>
        <v>0</v>
      </c>
      <c r="I33" s="458">
        <f t="shared" si="5"/>
        <v>0</v>
      </c>
      <c r="J33" s="460">
        <f t="shared" si="5"/>
        <v>0</v>
      </c>
      <c r="K33" s="458">
        <f t="shared" si="5"/>
        <v>0</v>
      </c>
      <c r="L33" s="458">
        <f t="shared" si="5"/>
        <v>0</v>
      </c>
      <c r="M33" s="460">
        <f t="shared" si="5"/>
        <v>0</v>
      </c>
      <c r="N33" s="458">
        <f t="shared" si="5"/>
        <v>0</v>
      </c>
      <c r="O33" s="458">
        <f t="shared" si="5"/>
        <v>0</v>
      </c>
      <c r="P33" s="460">
        <f t="shared" si="5"/>
        <v>0</v>
      </c>
      <c r="Q33" s="458">
        <f t="shared" si="5"/>
        <v>0</v>
      </c>
      <c r="R33" s="458">
        <f t="shared" si="5"/>
        <v>0</v>
      </c>
      <c r="S33" s="460">
        <f t="shared" si="5"/>
        <v>0</v>
      </c>
      <c r="T33" s="458">
        <f t="shared" si="5"/>
        <v>2</v>
      </c>
      <c r="U33" s="458">
        <f t="shared" si="5"/>
        <v>13</v>
      </c>
      <c r="V33" s="458">
        <f t="shared" si="5"/>
        <v>0</v>
      </c>
      <c r="W33" s="459">
        <f t="shared" si="5"/>
        <v>0</v>
      </c>
      <c r="X33" s="458">
        <f t="shared" si="5"/>
        <v>0</v>
      </c>
      <c r="Y33" s="460">
        <f t="shared" si="5"/>
        <v>0</v>
      </c>
      <c r="Z33" s="458">
        <f t="shared" si="5"/>
        <v>0</v>
      </c>
      <c r="AA33" s="458">
        <f t="shared" si="5"/>
        <v>0</v>
      </c>
      <c r="AB33" s="460">
        <f t="shared" si="5"/>
        <v>0</v>
      </c>
      <c r="AC33" s="458">
        <f t="shared" si="5"/>
        <v>0</v>
      </c>
      <c r="AD33" s="458">
        <f t="shared" si="5"/>
        <v>0</v>
      </c>
      <c r="AE33" s="460">
        <f t="shared" si="5"/>
        <v>0</v>
      </c>
      <c r="AF33" s="458">
        <f t="shared" si="5"/>
        <v>0</v>
      </c>
      <c r="AG33" s="458">
        <f t="shared" si="5"/>
        <v>0</v>
      </c>
      <c r="AH33" s="458">
        <f t="shared" si="5"/>
        <v>0</v>
      </c>
      <c r="AI33" s="459">
        <f t="shared" si="5"/>
        <v>1</v>
      </c>
      <c r="AJ33" s="458">
        <f t="shared" si="5"/>
        <v>53</v>
      </c>
      <c r="AK33" s="460">
        <f t="shared" si="5"/>
        <v>0</v>
      </c>
      <c r="AL33" s="458">
        <f t="shared" si="5"/>
        <v>0</v>
      </c>
      <c r="AM33" s="458">
        <f t="shared" si="5"/>
        <v>0</v>
      </c>
      <c r="AN33" s="458">
        <f t="shared" si="5"/>
        <v>0</v>
      </c>
      <c r="AO33" s="169" t="s">
        <v>136</v>
      </c>
    </row>
    <row r="34" spans="1:41" ht="18.75" customHeight="1">
      <c r="A34" s="133" t="s">
        <v>149</v>
      </c>
      <c r="B34" s="459">
        <f aca="true" t="shared" si="6" ref="B34:D36">E34+H34+K34+N34+Q34+T34+W34+Z34+AC34+AF34+AI34+AL34</f>
        <v>3</v>
      </c>
      <c r="C34" s="458">
        <f t="shared" si="6"/>
        <v>66</v>
      </c>
      <c r="D34" s="460">
        <f t="shared" si="6"/>
        <v>0</v>
      </c>
      <c r="E34" s="392">
        <v>0</v>
      </c>
      <c r="F34" s="392">
        <v>0</v>
      </c>
      <c r="G34" s="390">
        <v>0</v>
      </c>
      <c r="H34" s="392">
        <v>0</v>
      </c>
      <c r="I34" s="392">
        <v>0</v>
      </c>
      <c r="J34" s="390">
        <v>0</v>
      </c>
      <c r="K34" s="392">
        <v>0</v>
      </c>
      <c r="L34" s="392">
        <v>0</v>
      </c>
      <c r="M34" s="390">
        <v>0</v>
      </c>
      <c r="N34" s="392">
        <v>0</v>
      </c>
      <c r="O34" s="392">
        <v>0</v>
      </c>
      <c r="P34" s="390">
        <v>0</v>
      </c>
      <c r="Q34" s="392">
        <v>0</v>
      </c>
      <c r="R34" s="392">
        <v>0</v>
      </c>
      <c r="S34" s="390">
        <v>0</v>
      </c>
      <c r="T34" s="392">
        <v>2</v>
      </c>
      <c r="U34" s="392">
        <f>8+5</f>
        <v>13</v>
      </c>
      <c r="V34" s="390">
        <v>0</v>
      </c>
      <c r="W34" s="392">
        <v>0</v>
      </c>
      <c r="X34" s="392">
        <v>0</v>
      </c>
      <c r="Y34" s="390">
        <v>0</v>
      </c>
      <c r="Z34" s="392">
        <v>0</v>
      </c>
      <c r="AA34" s="392">
        <v>0</v>
      </c>
      <c r="AB34" s="390">
        <v>0</v>
      </c>
      <c r="AC34" s="392">
        <v>0</v>
      </c>
      <c r="AD34" s="392">
        <v>0</v>
      </c>
      <c r="AE34" s="390">
        <v>0</v>
      </c>
      <c r="AF34" s="392">
        <v>0</v>
      </c>
      <c r="AG34" s="392">
        <v>0</v>
      </c>
      <c r="AH34" s="392">
        <v>0</v>
      </c>
      <c r="AI34" s="391">
        <v>1</v>
      </c>
      <c r="AJ34" s="392">
        <v>53</v>
      </c>
      <c r="AK34" s="390">
        <v>0</v>
      </c>
      <c r="AL34" s="392">
        <v>0</v>
      </c>
      <c r="AM34" s="392">
        <v>0</v>
      </c>
      <c r="AN34" s="392">
        <v>0</v>
      </c>
      <c r="AO34" s="175" t="s">
        <v>149</v>
      </c>
    </row>
    <row r="35" spans="1:41" ht="18.75" customHeight="1">
      <c r="A35" s="133" t="s">
        <v>251</v>
      </c>
      <c r="B35" s="459">
        <f t="shared" si="6"/>
        <v>0</v>
      </c>
      <c r="C35" s="458">
        <f t="shared" si="6"/>
        <v>0</v>
      </c>
      <c r="D35" s="460">
        <f t="shared" si="6"/>
        <v>0</v>
      </c>
      <c r="E35" s="392">
        <v>0</v>
      </c>
      <c r="F35" s="392">
        <v>0</v>
      </c>
      <c r="G35" s="390">
        <v>0</v>
      </c>
      <c r="H35" s="392">
        <v>0</v>
      </c>
      <c r="I35" s="392">
        <v>0</v>
      </c>
      <c r="J35" s="390">
        <v>0</v>
      </c>
      <c r="K35" s="392">
        <v>0</v>
      </c>
      <c r="L35" s="392">
        <v>0</v>
      </c>
      <c r="M35" s="390">
        <v>0</v>
      </c>
      <c r="N35" s="392">
        <v>0</v>
      </c>
      <c r="O35" s="392">
        <v>0</v>
      </c>
      <c r="P35" s="390">
        <v>0</v>
      </c>
      <c r="Q35" s="392">
        <v>0</v>
      </c>
      <c r="R35" s="392">
        <v>0</v>
      </c>
      <c r="S35" s="390">
        <v>0</v>
      </c>
      <c r="T35" s="392">
        <v>0</v>
      </c>
      <c r="U35" s="392">
        <v>0</v>
      </c>
      <c r="V35" s="390">
        <v>0</v>
      </c>
      <c r="W35" s="392">
        <v>0</v>
      </c>
      <c r="X35" s="392">
        <v>0</v>
      </c>
      <c r="Y35" s="390">
        <v>0</v>
      </c>
      <c r="Z35" s="392">
        <v>0</v>
      </c>
      <c r="AA35" s="392">
        <v>0</v>
      </c>
      <c r="AB35" s="390">
        <v>0</v>
      </c>
      <c r="AC35" s="392">
        <v>0</v>
      </c>
      <c r="AD35" s="392">
        <v>0</v>
      </c>
      <c r="AE35" s="390">
        <v>0</v>
      </c>
      <c r="AF35" s="392">
        <v>0</v>
      </c>
      <c r="AG35" s="392">
        <v>0</v>
      </c>
      <c r="AH35" s="392">
        <v>0</v>
      </c>
      <c r="AI35" s="391">
        <v>0</v>
      </c>
      <c r="AJ35" s="392">
        <v>0</v>
      </c>
      <c r="AK35" s="390">
        <v>0</v>
      </c>
      <c r="AL35" s="392">
        <v>0</v>
      </c>
      <c r="AM35" s="392">
        <v>0</v>
      </c>
      <c r="AN35" s="392">
        <v>0</v>
      </c>
      <c r="AO35" s="175" t="s">
        <v>251</v>
      </c>
    </row>
    <row r="36" spans="1:41" ht="18.75" customHeight="1">
      <c r="A36" s="133" t="s">
        <v>150</v>
      </c>
      <c r="B36" s="459">
        <f t="shared" si="6"/>
        <v>0</v>
      </c>
      <c r="C36" s="458">
        <f t="shared" si="6"/>
        <v>0</v>
      </c>
      <c r="D36" s="460">
        <f t="shared" si="6"/>
        <v>0</v>
      </c>
      <c r="E36" s="392">
        <v>0</v>
      </c>
      <c r="F36" s="392">
        <v>0</v>
      </c>
      <c r="G36" s="390">
        <v>0</v>
      </c>
      <c r="H36" s="392">
        <v>0</v>
      </c>
      <c r="I36" s="392">
        <v>0</v>
      </c>
      <c r="J36" s="390">
        <v>0</v>
      </c>
      <c r="K36" s="392">
        <v>0</v>
      </c>
      <c r="L36" s="392">
        <v>0</v>
      </c>
      <c r="M36" s="390">
        <v>0</v>
      </c>
      <c r="N36" s="392">
        <v>0</v>
      </c>
      <c r="O36" s="392">
        <v>0</v>
      </c>
      <c r="P36" s="390">
        <v>0</v>
      </c>
      <c r="Q36" s="392">
        <v>0</v>
      </c>
      <c r="R36" s="392">
        <v>0</v>
      </c>
      <c r="S36" s="390">
        <v>0</v>
      </c>
      <c r="T36" s="392">
        <v>0</v>
      </c>
      <c r="U36" s="392">
        <v>0</v>
      </c>
      <c r="V36" s="390">
        <v>0</v>
      </c>
      <c r="W36" s="392">
        <v>0</v>
      </c>
      <c r="X36" s="392">
        <v>0</v>
      </c>
      <c r="Y36" s="390">
        <v>0</v>
      </c>
      <c r="Z36" s="392">
        <v>0</v>
      </c>
      <c r="AA36" s="392">
        <v>0</v>
      </c>
      <c r="AB36" s="390">
        <v>0</v>
      </c>
      <c r="AC36" s="392">
        <v>0</v>
      </c>
      <c r="AD36" s="392">
        <v>0</v>
      </c>
      <c r="AE36" s="390">
        <v>0</v>
      </c>
      <c r="AF36" s="392">
        <v>0</v>
      </c>
      <c r="AG36" s="392">
        <v>0</v>
      </c>
      <c r="AH36" s="392">
        <v>0</v>
      </c>
      <c r="AI36" s="391">
        <v>0</v>
      </c>
      <c r="AJ36" s="392">
        <v>0</v>
      </c>
      <c r="AK36" s="390">
        <v>0</v>
      </c>
      <c r="AL36" s="392">
        <v>0</v>
      </c>
      <c r="AM36" s="392">
        <v>0</v>
      </c>
      <c r="AN36" s="392">
        <v>0</v>
      </c>
      <c r="AO36" s="175" t="s">
        <v>150</v>
      </c>
    </row>
    <row r="37" spans="1:41" ht="18.75" customHeight="1">
      <c r="A37" s="132" t="s">
        <v>120</v>
      </c>
      <c r="B37" s="459">
        <f>SUM(B38:B39)</f>
        <v>0</v>
      </c>
      <c r="C37" s="458">
        <f aca="true" t="shared" si="7" ref="C37:AN37">SUM(C38:C39)</f>
        <v>0</v>
      </c>
      <c r="D37" s="460">
        <f t="shared" si="7"/>
        <v>0</v>
      </c>
      <c r="E37" s="458">
        <f t="shared" si="7"/>
        <v>0</v>
      </c>
      <c r="F37" s="458">
        <f t="shared" si="7"/>
        <v>0</v>
      </c>
      <c r="G37" s="460">
        <f>SUM(G38:G39)</f>
        <v>0</v>
      </c>
      <c r="H37" s="458">
        <f t="shared" si="7"/>
        <v>0</v>
      </c>
      <c r="I37" s="458">
        <f t="shared" si="7"/>
        <v>0</v>
      </c>
      <c r="J37" s="460">
        <f t="shared" si="7"/>
        <v>0</v>
      </c>
      <c r="K37" s="458">
        <f t="shared" si="7"/>
        <v>0</v>
      </c>
      <c r="L37" s="458">
        <f t="shared" si="7"/>
        <v>0</v>
      </c>
      <c r="M37" s="460">
        <f t="shared" si="7"/>
        <v>0</v>
      </c>
      <c r="N37" s="458">
        <f t="shared" si="7"/>
        <v>0</v>
      </c>
      <c r="O37" s="458">
        <f t="shared" si="7"/>
        <v>0</v>
      </c>
      <c r="P37" s="460">
        <f t="shared" si="7"/>
        <v>0</v>
      </c>
      <c r="Q37" s="458">
        <f t="shared" si="7"/>
        <v>0</v>
      </c>
      <c r="R37" s="458">
        <f t="shared" si="7"/>
        <v>0</v>
      </c>
      <c r="S37" s="460">
        <f t="shared" si="7"/>
        <v>0</v>
      </c>
      <c r="T37" s="458">
        <f t="shared" si="7"/>
        <v>0</v>
      </c>
      <c r="U37" s="458">
        <f t="shared" si="7"/>
        <v>0</v>
      </c>
      <c r="V37" s="460">
        <f t="shared" si="7"/>
        <v>0</v>
      </c>
      <c r="W37" s="458">
        <f t="shared" si="7"/>
        <v>0</v>
      </c>
      <c r="X37" s="458">
        <f t="shared" si="7"/>
        <v>0</v>
      </c>
      <c r="Y37" s="460">
        <f t="shared" si="7"/>
        <v>0</v>
      </c>
      <c r="Z37" s="458">
        <f t="shared" si="7"/>
        <v>0</v>
      </c>
      <c r="AA37" s="458">
        <f t="shared" si="7"/>
        <v>0</v>
      </c>
      <c r="AB37" s="460">
        <f t="shared" si="7"/>
        <v>0</v>
      </c>
      <c r="AC37" s="458">
        <f t="shared" si="7"/>
        <v>0</v>
      </c>
      <c r="AD37" s="458">
        <f t="shared" si="7"/>
        <v>0</v>
      </c>
      <c r="AE37" s="460">
        <f t="shared" si="7"/>
        <v>0</v>
      </c>
      <c r="AF37" s="458">
        <f t="shared" si="7"/>
        <v>0</v>
      </c>
      <c r="AG37" s="458">
        <f t="shared" si="7"/>
        <v>0</v>
      </c>
      <c r="AH37" s="460">
        <f t="shared" si="7"/>
        <v>0</v>
      </c>
      <c r="AI37" s="458">
        <f t="shared" si="7"/>
        <v>0</v>
      </c>
      <c r="AJ37" s="458">
        <f>SUM(AJ38:AJ39)</f>
        <v>0</v>
      </c>
      <c r="AK37" s="460">
        <f t="shared" si="7"/>
        <v>0</v>
      </c>
      <c r="AL37" s="458">
        <f t="shared" si="7"/>
        <v>0</v>
      </c>
      <c r="AM37" s="458">
        <f t="shared" si="7"/>
        <v>0</v>
      </c>
      <c r="AN37" s="458">
        <f t="shared" si="7"/>
        <v>0</v>
      </c>
      <c r="AO37" s="175" t="s">
        <v>120</v>
      </c>
    </row>
    <row r="38" spans="1:41" ht="18.75" customHeight="1">
      <c r="A38" s="133" t="s">
        <v>151</v>
      </c>
      <c r="B38" s="459">
        <f aca="true" t="shared" si="8" ref="B38:D43">E38+H38+K38+N38+Q38+T38+W38+Z38+AC38+AF38+AI38+AL38</f>
        <v>0</v>
      </c>
      <c r="C38" s="458">
        <f t="shared" si="8"/>
        <v>0</v>
      </c>
      <c r="D38" s="460">
        <f>G38+J38+M38+P38+S38+V38+Y38+AB38+AE38+AH38+AK38+AN38</f>
        <v>0</v>
      </c>
      <c r="E38" s="392">
        <v>0</v>
      </c>
      <c r="F38" s="392">
        <v>0</v>
      </c>
      <c r="G38" s="390">
        <v>0</v>
      </c>
      <c r="H38" s="392">
        <v>0</v>
      </c>
      <c r="I38" s="392">
        <v>0</v>
      </c>
      <c r="J38" s="390">
        <v>0</v>
      </c>
      <c r="K38" s="392">
        <v>0</v>
      </c>
      <c r="L38" s="392">
        <v>0</v>
      </c>
      <c r="M38" s="390">
        <v>0</v>
      </c>
      <c r="N38" s="392">
        <v>0</v>
      </c>
      <c r="O38" s="392">
        <v>0</v>
      </c>
      <c r="P38" s="390">
        <v>0</v>
      </c>
      <c r="Q38" s="392">
        <v>0</v>
      </c>
      <c r="R38" s="392">
        <v>0</v>
      </c>
      <c r="S38" s="390">
        <v>0</v>
      </c>
      <c r="T38" s="392">
        <v>0</v>
      </c>
      <c r="U38" s="392">
        <v>0</v>
      </c>
      <c r="V38" s="390">
        <v>0</v>
      </c>
      <c r="W38" s="392">
        <v>0</v>
      </c>
      <c r="X38" s="392">
        <v>0</v>
      </c>
      <c r="Y38" s="390">
        <v>0</v>
      </c>
      <c r="Z38" s="392">
        <v>0</v>
      </c>
      <c r="AA38" s="392">
        <v>0</v>
      </c>
      <c r="AB38" s="390">
        <v>0</v>
      </c>
      <c r="AC38" s="392">
        <v>0</v>
      </c>
      <c r="AD38" s="392">
        <v>0</v>
      </c>
      <c r="AE38" s="390">
        <v>0</v>
      </c>
      <c r="AF38" s="392">
        <v>0</v>
      </c>
      <c r="AG38" s="392">
        <v>0</v>
      </c>
      <c r="AH38" s="390">
        <v>0</v>
      </c>
      <c r="AI38" s="392">
        <v>0</v>
      </c>
      <c r="AJ38" s="392">
        <v>0</v>
      </c>
      <c r="AK38" s="390">
        <v>0</v>
      </c>
      <c r="AL38" s="392">
        <v>0</v>
      </c>
      <c r="AM38" s="392">
        <v>0</v>
      </c>
      <c r="AN38" s="392">
        <v>0</v>
      </c>
      <c r="AO38" s="175" t="s">
        <v>151</v>
      </c>
    </row>
    <row r="39" spans="1:41" ht="18.75" customHeight="1">
      <c r="A39" s="133" t="s">
        <v>152</v>
      </c>
      <c r="B39" s="459">
        <f t="shared" si="8"/>
        <v>0</v>
      </c>
      <c r="C39" s="458">
        <f t="shared" si="8"/>
        <v>0</v>
      </c>
      <c r="D39" s="460">
        <f t="shared" si="8"/>
        <v>0</v>
      </c>
      <c r="E39" s="392">
        <v>0</v>
      </c>
      <c r="F39" s="392">
        <v>0</v>
      </c>
      <c r="G39" s="390">
        <v>0</v>
      </c>
      <c r="H39" s="392">
        <v>0</v>
      </c>
      <c r="I39" s="392">
        <v>0</v>
      </c>
      <c r="J39" s="390">
        <v>0</v>
      </c>
      <c r="K39" s="392">
        <v>0</v>
      </c>
      <c r="L39" s="392">
        <v>0</v>
      </c>
      <c r="M39" s="390">
        <v>0</v>
      </c>
      <c r="N39" s="392">
        <v>0</v>
      </c>
      <c r="O39" s="392">
        <v>0</v>
      </c>
      <c r="P39" s="390">
        <v>0</v>
      </c>
      <c r="Q39" s="392">
        <v>0</v>
      </c>
      <c r="R39" s="392">
        <v>0</v>
      </c>
      <c r="S39" s="390">
        <v>0</v>
      </c>
      <c r="T39" s="392">
        <v>0</v>
      </c>
      <c r="U39" s="392">
        <v>0</v>
      </c>
      <c r="V39" s="390">
        <v>0</v>
      </c>
      <c r="W39" s="392">
        <v>0</v>
      </c>
      <c r="X39" s="392">
        <v>0</v>
      </c>
      <c r="Y39" s="390">
        <v>0</v>
      </c>
      <c r="Z39" s="392">
        <v>0</v>
      </c>
      <c r="AA39" s="392">
        <v>0</v>
      </c>
      <c r="AB39" s="390">
        <v>0</v>
      </c>
      <c r="AC39" s="392">
        <v>0</v>
      </c>
      <c r="AD39" s="392">
        <v>0</v>
      </c>
      <c r="AE39" s="390">
        <v>0</v>
      </c>
      <c r="AF39" s="392">
        <v>0</v>
      </c>
      <c r="AG39" s="392">
        <v>0</v>
      </c>
      <c r="AH39" s="390">
        <v>0</v>
      </c>
      <c r="AI39" s="392">
        <v>0</v>
      </c>
      <c r="AJ39" s="392">
        <v>0</v>
      </c>
      <c r="AK39" s="390">
        <v>0</v>
      </c>
      <c r="AL39" s="392">
        <v>0</v>
      </c>
      <c r="AM39" s="392">
        <v>0</v>
      </c>
      <c r="AN39" s="392">
        <v>0</v>
      </c>
      <c r="AO39" s="175" t="s">
        <v>152</v>
      </c>
    </row>
    <row r="40" spans="1:41" ht="18.75" customHeight="1">
      <c r="A40" s="132" t="s">
        <v>132</v>
      </c>
      <c r="B40" s="459">
        <f t="shared" si="8"/>
        <v>2</v>
      </c>
      <c r="C40" s="458">
        <f t="shared" si="8"/>
        <v>75</v>
      </c>
      <c r="D40" s="460">
        <f t="shared" si="8"/>
        <v>0</v>
      </c>
      <c r="E40" s="392">
        <v>0</v>
      </c>
      <c r="F40" s="392">
        <v>0</v>
      </c>
      <c r="G40" s="390">
        <v>0</v>
      </c>
      <c r="H40" s="392">
        <v>0</v>
      </c>
      <c r="I40" s="392">
        <v>0</v>
      </c>
      <c r="J40" s="390">
        <v>0</v>
      </c>
      <c r="K40" s="392">
        <v>0</v>
      </c>
      <c r="L40" s="392">
        <v>0</v>
      </c>
      <c r="M40" s="390">
        <v>0</v>
      </c>
      <c r="N40" s="392">
        <v>0</v>
      </c>
      <c r="O40" s="392">
        <v>0</v>
      </c>
      <c r="P40" s="390">
        <v>0</v>
      </c>
      <c r="Q40" s="392">
        <v>0</v>
      </c>
      <c r="R40" s="392">
        <v>0</v>
      </c>
      <c r="S40" s="390">
        <v>0</v>
      </c>
      <c r="T40" s="392">
        <v>1</v>
      </c>
      <c r="U40" s="392">
        <v>69</v>
      </c>
      <c r="V40" s="390">
        <v>0</v>
      </c>
      <c r="W40" s="392">
        <v>0</v>
      </c>
      <c r="X40" s="392">
        <v>0</v>
      </c>
      <c r="Y40" s="390">
        <v>0</v>
      </c>
      <c r="Z40" s="392">
        <v>0</v>
      </c>
      <c r="AA40" s="392">
        <v>0</v>
      </c>
      <c r="AB40" s="390">
        <v>0</v>
      </c>
      <c r="AC40" s="392">
        <v>0</v>
      </c>
      <c r="AD40" s="392">
        <v>0</v>
      </c>
      <c r="AE40" s="390">
        <v>0</v>
      </c>
      <c r="AF40" s="392">
        <v>1</v>
      </c>
      <c r="AG40" s="392">
        <v>6</v>
      </c>
      <c r="AH40" s="390">
        <v>0</v>
      </c>
      <c r="AI40" s="392">
        <v>0</v>
      </c>
      <c r="AJ40" s="392">
        <v>0</v>
      </c>
      <c r="AK40" s="390">
        <v>0</v>
      </c>
      <c r="AL40" s="392">
        <v>0</v>
      </c>
      <c r="AM40" s="392">
        <v>0</v>
      </c>
      <c r="AN40" s="392">
        <v>0</v>
      </c>
      <c r="AO40" s="175" t="s">
        <v>132</v>
      </c>
    </row>
    <row r="41" spans="1:41" ht="18.75" customHeight="1">
      <c r="A41" s="132" t="s">
        <v>133</v>
      </c>
      <c r="B41" s="459">
        <f t="shared" si="8"/>
        <v>0</v>
      </c>
      <c r="C41" s="458">
        <f t="shared" si="8"/>
        <v>0</v>
      </c>
      <c r="D41" s="460">
        <f t="shared" si="8"/>
        <v>0</v>
      </c>
      <c r="E41" s="392">
        <v>0</v>
      </c>
      <c r="F41" s="392">
        <v>0</v>
      </c>
      <c r="G41" s="390">
        <v>0</v>
      </c>
      <c r="H41" s="392">
        <v>0</v>
      </c>
      <c r="I41" s="392">
        <v>0</v>
      </c>
      <c r="J41" s="390">
        <v>0</v>
      </c>
      <c r="K41" s="392">
        <v>0</v>
      </c>
      <c r="L41" s="392">
        <v>0</v>
      </c>
      <c r="M41" s="390">
        <v>0</v>
      </c>
      <c r="N41" s="392">
        <v>0</v>
      </c>
      <c r="O41" s="392">
        <v>0</v>
      </c>
      <c r="P41" s="390">
        <v>0</v>
      </c>
      <c r="Q41" s="392">
        <v>0</v>
      </c>
      <c r="R41" s="392">
        <v>0</v>
      </c>
      <c r="S41" s="390">
        <v>0</v>
      </c>
      <c r="T41" s="392">
        <v>0</v>
      </c>
      <c r="U41" s="392">
        <v>0</v>
      </c>
      <c r="V41" s="390">
        <v>0</v>
      </c>
      <c r="W41" s="392">
        <v>0</v>
      </c>
      <c r="X41" s="392">
        <v>0</v>
      </c>
      <c r="Y41" s="390">
        <v>0</v>
      </c>
      <c r="Z41" s="392">
        <v>0</v>
      </c>
      <c r="AA41" s="392">
        <v>0</v>
      </c>
      <c r="AB41" s="390">
        <v>0</v>
      </c>
      <c r="AC41" s="392">
        <v>0</v>
      </c>
      <c r="AD41" s="392">
        <v>0</v>
      </c>
      <c r="AE41" s="390">
        <v>0</v>
      </c>
      <c r="AF41" s="392">
        <v>0</v>
      </c>
      <c r="AG41" s="392">
        <v>0</v>
      </c>
      <c r="AH41" s="390">
        <v>0</v>
      </c>
      <c r="AI41" s="392">
        <v>0</v>
      </c>
      <c r="AJ41" s="392">
        <v>0</v>
      </c>
      <c r="AK41" s="390">
        <v>0</v>
      </c>
      <c r="AL41" s="392">
        <v>0</v>
      </c>
      <c r="AM41" s="392">
        <v>0</v>
      </c>
      <c r="AN41" s="392">
        <v>0</v>
      </c>
      <c r="AO41" s="175" t="s">
        <v>133</v>
      </c>
    </row>
    <row r="42" spans="1:41" ht="18.75" customHeight="1">
      <c r="A42" s="132" t="s">
        <v>134</v>
      </c>
      <c r="B42" s="459">
        <f t="shared" si="8"/>
        <v>0</v>
      </c>
      <c r="C42" s="458">
        <f t="shared" si="8"/>
        <v>0</v>
      </c>
      <c r="D42" s="460">
        <f t="shared" si="8"/>
        <v>0</v>
      </c>
      <c r="E42" s="392">
        <v>0</v>
      </c>
      <c r="F42" s="392">
        <v>0</v>
      </c>
      <c r="G42" s="390">
        <v>0</v>
      </c>
      <c r="H42" s="392">
        <v>0</v>
      </c>
      <c r="I42" s="392">
        <v>0</v>
      </c>
      <c r="J42" s="390">
        <v>0</v>
      </c>
      <c r="K42" s="392">
        <v>0</v>
      </c>
      <c r="L42" s="392">
        <v>0</v>
      </c>
      <c r="M42" s="390">
        <v>0</v>
      </c>
      <c r="N42" s="392">
        <v>0</v>
      </c>
      <c r="O42" s="392">
        <v>0</v>
      </c>
      <c r="P42" s="390">
        <v>0</v>
      </c>
      <c r="Q42" s="392">
        <v>0</v>
      </c>
      <c r="R42" s="392">
        <v>0</v>
      </c>
      <c r="S42" s="390">
        <v>0</v>
      </c>
      <c r="T42" s="392">
        <v>0</v>
      </c>
      <c r="U42" s="392">
        <v>0</v>
      </c>
      <c r="V42" s="390">
        <v>0</v>
      </c>
      <c r="W42" s="392">
        <v>0</v>
      </c>
      <c r="X42" s="392">
        <v>0</v>
      </c>
      <c r="Y42" s="390">
        <v>0</v>
      </c>
      <c r="Z42" s="392">
        <v>0</v>
      </c>
      <c r="AA42" s="392">
        <v>0</v>
      </c>
      <c r="AB42" s="390">
        <v>0</v>
      </c>
      <c r="AC42" s="392">
        <v>0</v>
      </c>
      <c r="AD42" s="392">
        <v>0</v>
      </c>
      <c r="AE42" s="390">
        <v>0</v>
      </c>
      <c r="AF42" s="392">
        <v>0</v>
      </c>
      <c r="AG42" s="392">
        <v>0</v>
      </c>
      <c r="AH42" s="390">
        <v>0</v>
      </c>
      <c r="AI42" s="392">
        <v>0</v>
      </c>
      <c r="AJ42" s="392">
        <v>0</v>
      </c>
      <c r="AK42" s="390">
        <v>0</v>
      </c>
      <c r="AL42" s="392">
        <v>0</v>
      </c>
      <c r="AM42" s="392">
        <v>0</v>
      </c>
      <c r="AN42" s="392">
        <v>0</v>
      </c>
      <c r="AO42" s="175" t="s">
        <v>134</v>
      </c>
    </row>
    <row r="43" spans="1:41" ht="18.75" customHeight="1">
      <c r="A43" s="132" t="s">
        <v>121</v>
      </c>
      <c r="B43" s="459">
        <f t="shared" si="8"/>
        <v>0</v>
      </c>
      <c r="C43" s="458">
        <f t="shared" si="8"/>
        <v>0</v>
      </c>
      <c r="D43" s="460">
        <f t="shared" si="8"/>
        <v>0</v>
      </c>
      <c r="E43" s="392">
        <v>0</v>
      </c>
      <c r="F43" s="392">
        <v>0</v>
      </c>
      <c r="G43" s="390">
        <v>0</v>
      </c>
      <c r="H43" s="392">
        <v>0</v>
      </c>
      <c r="I43" s="392">
        <v>0</v>
      </c>
      <c r="J43" s="390">
        <v>0</v>
      </c>
      <c r="K43" s="392">
        <v>0</v>
      </c>
      <c r="L43" s="392">
        <v>0</v>
      </c>
      <c r="M43" s="390">
        <v>0</v>
      </c>
      <c r="N43" s="392">
        <v>0</v>
      </c>
      <c r="O43" s="392">
        <v>0</v>
      </c>
      <c r="P43" s="390">
        <v>0</v>
      </c>
      <c r="Q43" s="392">
        <v>0</v>
      </c>
      <c r="R43" s="392">
        <v>0</v>
      </c>
      <c r="S43" s="390">
        <v>0</v>
      </c>
      <c r="T43" s="392">
        <v>0</v>
      </c>
      <c r="U43" s="392"/>
      <c r="V43" s="390">
        <v>0</v>
      </c>
      <c r="W43" s="392">
        <v>0</v>
      </c>
      <c r="X43" s="392">
        <v>0</v>
      </c>
      <c r="Y43" s="390">
        <v>0</v>
      </c>
      <c r="Z43" s="392">
        <v>0</v>
      </c>
      <c r="AA43" s="392">
        <v>0</v>
      </c>
      <c r="AB43" s="390">
        <v>0</v>
      </c>
      <c r="AC43" s="392">
        <v>0</v>
      </c>
      <c r="AD43" s="392">
        <v>0</v>
      </c>
      <c r="AE43" s="390">
        <v>0</v>
      </c>
      <c r="AF43" s="392">
        <v>0</v>
      </c>
      <c r="AG43" s="392">
        <v>0</v>
      </c>
      <c r="AH43" s="390">
        <v>0</v>
      </c>
      <c r="AI43" s="392">
        <v>0</v>
      </c>
      <c r="AJ43" s="392">
        <v>0</v>
      </c>
      <c r="AK43" s="390">
        <v>0</v>
      </c>
      <c r="AL43" s="392">
        <v>0</v>
      </c>
      <c r="AM43" s="392">
        <v>0</v>
      </c>
      <c r="AN43" s="392">
        <v>0</v>
      </c>
      <c r="AO43" s="175" t="s">
        <v>121</v>
      </c>
    </row>
    <row r="44" spans="1:41" ht="18.75" customHeight="1">
      <c r="A44" s="130" t="s">
        <v>135</v>
      </c>
      <c r="B44" s="459">
        <f>SUM(B45:B47)</f>
        <v>0</v>
      </c>
      <c r="C44" s="458">
        <f>SUM(C45:C47)</f>
        <v>0</v>
      </c>
      <c r="D44" s="460">
        <f>SUM(D45:D47)</f>
        <v>0</v>
      </c>
      <c r="E44" s="458">
        <f>SUM(E45:E47)</f>
        <v>0</v>
      </c>
      <c r="F44" s="458">
        <f aca="true" t="shared" si="9" ref="F44:AN44">SUM(F45:F47)</f>
        <v>0</v>
      </c>
      <c r="G44" s="460">
        <f t="shared" si="9"/>
        <v>0</v>
      </c>
      <c r="H44" s="458">
        <f t="shared" si="9"/>
        <v>0</v>
      </c>
      <c r="I44" s="458">
        <f t="shared" si="9"/>
        <v>0</v>
      </c>
      <c r="J44" s="460">
        <f t="shared" si="9"/>
        <v>0</v>
      </c>
      <c r="K44" s="458">
        <f t="shared" si="9"/>
        <v>0</v>
      </c>
      <c r="L44" s="458">
        <f t="shared" si="9"/>
        <v>0</v>
      </c>
      <c r="M44" s="460">
        <f t="shared" si="9"/>
        <v>0</v>
      </c>
      <c r="N44" s="458">
        <f t="shared" si="9"/>
        <v>0</v>
      </c>
      <c r="O44" s="458">
        <f t="shared" si="9"/>
        <v>0</v>
      </c>
      <c r="P44" s="460">
        <f t="shared" si="9"/>
        <v>0</v>
      </c>
      <c r="Q44" s="458">
        <f t="shared" si="9"/>
        <v>0</v>
      </c>
      <c r="R44" s="458">
        <f t="shared" si="9"/>
        <v>0</v>
      </c>
      <c r="S44" s="460">
        <f t="shared" si="9"/>
        <v>0</v>
      </c>
      <c r="T44" s="458">
        <f t="shared" si="9"/>
        <v>0</v>
      </c>
      <c r="U44" s="458">
        <f t="shared" si="9"/>
        <v>0</v>
      </c>
      <c r="V44" s="460">
        <f t="shared" si="9"/>
        <v>0</v>
      </c>
      <c r="W44" s="458">
        <f t="shared" si="9"/>
        <v>0</v>
      </c>
      <c r="X44" s="458">
        <f t="shared" si="9"/>
        <v>0</v>
      </c>
      <c r="Y44" s="460">
        <f t="shared" si="9"/>
        <v>0</v>
      </c>
      <c r="Z44" s="458">
        <f t="shared" si="9"/>
        <v>0</v>
      </c>
      <c r="AA44" s="458">
        <f t="shared" si="9"/>
        <v>0</v>
      </c>
      <c r="AB44" s="460">
        <f t="shared" si="9"/>
        <v>0</v>
      </c>
      <c r="AC44" s="458">
        <f>SUM(AC45:AC47)</f>
        <v>0</v>
      </c>
      <c r="AD44" s="458">
        <f t="shared" si="9"/>
        <v>0</v>
      </c>
      <c r="AE44" s="460">
        <f t="shared" si="9"/>
        <v>0</v>
      </c>
      <c r="AF44" s="458">
        <f t="shared" si="9"/>
        <v>0</v>
      </c>
      <c r="AG44" s="458">
        <f t="shared" si="9"/>
        <v>0</v>
      </c>
      <c r="AH44" s="460">
        <f t="shared" si="9"/>
        <v>0</v>
      </c>
      <c r="AI44" s="458">
        <f t="shared" si="9"/>
        <v>0</v>
      </c>
      <c r="AJ44" s="458">
        <f>SUM(AJ45:AJ47)</f>
        <v>0</v>
      </c>
      <c r="AK44" s="460">
        <f t="shared" si="9"/>
        <v>0</v>
      </c>
      <c r="AL44" s="458">
        <f>SUM(AL45:AL47)</f>
        <v>0</v>
      </c>
      <c r="AM44" s="458">
        <f t="shared" si="9"/>
        <v>0</v>
      </c>
      <c r="AN44" s="458">
        <f t="shared" si="9"/>
        <v>0</v>
      </c>
      <c r="AO44" s="175" t="s">
        <v>135</v>
      </c>
    </row>
    <row r="45" spans="1:41" ht="18.75" customHeight="1">
      <c r="A45" s="133" t="s">
        <v>154</v>
      </c>
      <c r="B45" s="459">
        <f aca="true" t="shared" si="10" ref="B45:D51">E45+H45+K45+N45+Q45+T45+W45+Z45+AC45+AF45+AI45+AL45</f>
        <v>0</v>
      </c>
      <c r="C45" s="458">
        <f t="shared" si="10"/>
        <v>0</v>
      </c>
      <c r="D45" s="460">
        <f t="shared" si="10"/>
        <v>0</v>
      </c>
      <c r="E45" s="392">
        <v>0</v>
      </c>
      <c r="F45" s="392">
        <v>0</v>
      </c>
      <c r="G45" s="390">
        <v>0</v>
      </c>
      <c r="H45" s="392">
        <v>0</v>
      </c>
      <c r="I45" s="392">
        <v>0</v>
      </c>
      <c r="J45" s="390">
        <v>0</v>
      </c>
      <c r="K45" s="392">
        <v>0</v>
      </c>
      <c r="L45" s="392">
        <v>0</v>
      </c>
      <c r="M45" s="390">
        <v>0</v>
      </c>
      <c r="N45" s="392">
        <v>0</v>
      </c>
      <c r="O45" s="392">
        <v>0</v>
      </c>
      <c r="P45" s="390">
        <v>0</v>
      </c>
      <c r="Q45" s="392">
        <v>0</v>
      </c>
      <c r="R45" s="392">
        <v>0</v>
      </c>
      <c r="S45" s="390">
        <v>0</v>
      </c>
      <c r="T45" s="392">
        <v>0</v>
      </c>
      <c r="U45" s="392">
        <v>0</v>
      </c>
      <c r="V45" s="390">
        <v>0</v>
      </c>
      <c r="W45" s="392">
        <v>0</v>
      </c>
      <c r="X45" s="392">
        <v>0</v>
      </c>
      <c r="Y45" s="390">
        <v>0</v>
      </c>
      <c r="Z45" s="392">
        <v>0</v>
      </c>
      <c r="AA45" s="392">
        <v>0</v>
      </c>
      <c r="AB45" s="390">
        <v>0</v>
      </c>
      <c r="AC45" s="392">
        <v>0</v>
      </c>
      <c r="AD45" s="392">
        <v>0</v>
      </c>
      <c r="AE45" s="390">
        <v>0</v>
      </c>
      <c r="AF45" s="392">
        <v>0</v>
      </c>
      <c r="AG45" s="392">
        <v>0</v>
      </c>
      <c r="AH45" s="390">
        <v>0</v>
      </c>
      <c r="AI45" s="392">
        <v>0</v>
      </c>
      <c r="AJ45" s="392">
        <v>0</v>
      </c>
      <c r="AK45" s="390">
        <v>0</v>
      </c>
      <c r="AL45" s="392">
        <v>0</v>
      </c>
      <c r="AM45" s="392">
        <v>0</v>
      </c>
      <c r="AN45" s="390">
        <v>0</v>
      </c>
      <c r="AO45" s="175" t="s">
        <v>154</v>
      </c>
    </row>
    <row r="46" spans="1:41" ht="18.75" customHeight="1">
      <c r="A46" s="133" t="s">
        <v>137</v>
      </c>
      <c r="B46" s="459">
        <f t="shared" si="10"/>
        <v>0</v>
      </c>
      <c r="C46" s="458">
        <f t="shared" si="10"/>
        <v>0</v>
      </c>
      <c r="D46" s="460">
        <f t="shared" si="10"/>
        <v>0</v>
      </c>
      <c r="E46" s="392">
        <v>0</v>
      </c>
      <c r="F46" s="392">
        <v>0</v>
      </c>
      <c r="G46" s="390">
        <v>0</v>
      </c>
      <c r="H46" s="392">
        <v>0</v>
      </c>
      <c r="I46" s="392">
        <v>0</v>
      </c>
      <c r="J46" s="390">
        <v>0</v>
      </c>
      <c r="K46" s="392">
        <v>0</v>
      </c>
      <c r="L46" s="392">
        <v>0</v>
      </c>
      <c r="M46" s="390">
        <v>0</v>
      </c>
      <c r="N46" s="392">
        <v>0</v>
      </c>
      <c r="O46" s="392">
        <v>0</v>
      </c>
      <c r="P46" s="390">
        <v>0</v>
      </c>
      <c r="Q46" s="392">
        <v>0</v>
      </c>
      <c r="R46" s="392">
        <v>0</v>
      </c>
      <c r="S46" s="390">
        <v>0</v>
      </c>
      <c r="T46" s="392">
        <v>0</v>
      </c>
      <c r="U46" s="392">
        <v>0</v>
      </c>
      <c r="V46" s="390">
        <v>0</v>
      </c>
      <c r="W46" s="392">
        <v>0</v>
      </c>
      <c r="X46" s="392">
        <v>0</v>
      </c>
      <c r="Y46" s="390">
        <v>0</v>
      </c>
      <c r="Z46" s="392">
        <v>0</v>
      </c>
      <c r="AA46" s="392">
        <v>0</v>
      </c>
      <c r="AB46" s="390">
        <v>0</v>
      </c>
      <c r="AC46" s="392">
        <v>0</v>
      </c>
      <c r="AD46" s="392">
        <v>0</v>
      </c>
      <c r="AE46" s="390">
        <v>0</v>
      </c>
      <c r="AF46" s="392">
        <v>0</v>
      </c>
      <c r="AG46" s="392">
        <v>0</v>
      </c>
      <c r="AH46" s="390">
        <v>0</v>
      </c>
      <c r="AI46" s="392">
        <v>0</v>
      </c>
      <c r="AJ46" s="392">
        <v>0</v>
      </c>
      <c r="AK46" s="390">
        <v>0</v>
      </c>
      <c r="AL46" s="392">
        <v>0</v>
      </c>
      <c r="AM46" s="392">
        <v>0</v>
      </c>
      <c r="AN46" s="392">
        <v>0</v>
      </c>
      <c r="AO46" s="175" t="s">
        <v>137</v>
      </c>
    </row>
    <row r="47" spans="1:41" ht="18.75" customHeight="1">
      <c r="A47" s="133" t="s">
        <v>153</v>
      </c>
      <c r="B47" s="459">
        <f t="shared" si="10"/>
        <v>0</v>
      </c>
      <c r="C47" s="458">
        <f t="shared" si="10"/>
        <v>0</v>
      </c>
      <c r="D47" s="460">
        <f t="shared" si="10"/>
        <v>0</v>
      </c>
      <c r="E47" s="392">
        <v>0</v>
      </c>
      <c r="F47" s="392">
        <v>0</v>
      </c>
      <c r="G47" s="390">
        <v>0</v>
      </c>
      <c r="H47" s="392">
        <v>0</v>
      </c>
      <c r="I47" s="392">
        <v>0</v>
      </c>
      <c r="J47" s="390">
        <v>0</v>
      </c>
      <c r="K47" s="392">
        <v>0</v>
      </c>
      <c r="L47" s="392">
        <v>0</v>
      </c>
      <c r="M47" s="390">
        <v>0</v>
      </c>
      <c r="N47" s="392">
        <v>0</v>
      </c>
      <c r="O47" s="392">
        <v>0</v>
      </c>
      <c r="P47" s="390">
        <v>0</v>
      </c>
      <c r="Q47" s="392">
        <v>0</v>
      </c>
      <c r="R47" s="392">
        <v>0</v>
      </c>
      <c r="S47" s="390">
        <v>0</v>
      </c>
      <c r="T47" s="392">
        <v>0</v>
      </c>
      <c r="U47" s="392">
        <v>0</v>
      </c>
      <c r="V47" s="390">
        <v>0</v>
      </c>
      <c r="W47" s="392">
        <v>0</v>
      </c>
      <c r="X47" s="392">
        <v>0</v>
      </c>
      <c r="Y47" s="390">
        <v>0</v>
      </c>
      <c r="Z47" s="392">
        <v>0</v>
      </c>
      <c r="AA47" s="392">
        <v>0</v>
      </c>
      <c r="AB47" s="390">
        <v>0</v>
      </c>
      <c r="AC47" s="392">
        <v>0</v>
      </c>
      <c r="AD47" s="392">
        <v>0</v>
      </c>
      <c r="AE47" s="390">
        <v>0</v>
      </c>
      <c r="AF47" s="392">
        <v>0</v>
      </c>
      <c r="AG47" s="392">
        <v>0</v>
      </c>
      <c r="AH47" s="390">
        <v>0</v>
      </c>
      <c r="AI47" s="392">
        <v>0</v>
      </c>
      <c r="AJ47" s="392">
        <v>0</v>
      </c>
      <c r="AK47" s="390">
        <v>0</v>
      </c>
      <c r="AL47" s="392">
        <v>0</v>
      </c>
      <c r="AM47" s="392">
        <v>0</v>
      </c>
      <c r="AN47" s="392">
        <v>0</v>
      </c>
      <c r="AO47" s="175" t="s">
        <v>153</v>
      </c>
    </row>
    <row r="48" spans="1:41" ht="18.75" customHeight="1">
      <c r="A48" s="132" t="s">
        <v>122</v>
      </c>
      <c r="B48" s="459">
        <f t="shared" si="10"/>
        <v>0</v>
      </c>
      <c r="C48" s="458">
        <f t="shared" si="10"/>
        <v>0</v>
      </c>
      <c r="D48" s="460">
        <f t="shared" si="10"/>
        <v>0</v>
      </c>
      <c r="E48" s="392">
        <v>0</v>
      </c>
      <c r="F48" s="392">
        <v>0</v>
      </c>
      <c r="G48" s="390">
        <v>0</v>
      </c>
      <c r="H48" s="392">
        <v>0</v>
      </c>
      <c r="I48" s="392">
        <v>0</v>
      </c>
      <c r="J48" s="390">
        <v>0</v>
      </c>
      <c r="K48" s="392">
        <v>0</v>
      </c>
      <c r="L48" s="392">
        <v>0</v>
      </c>
      <c r="M48" s="390">
        <v>0</v>
      </c>
      <c r="N48" s="392">
        <v>0</v>
      </c>
      <c r="O48" s="392">
        <v>0</v>
      </c>
      <c r="P48" s="390">
        <v>0</v>
      </c>
      <c r="Q48" s="392">
        <v>0</v>
      </c>
      <c r="R48" s="392">
        <v>0</v>
      </c>
      <c r="S48" s="390">
        <v>0</v>
      </c>
      <c r="T48" s="392">
        <v>0</v>
      </c>
      <c r="U48" s="392">
        <v>0</v>
      </c>
      <c r="V48" s="390">
        <v>0</v>
      </c>
      <c r="W48" s="392">
        <v>0</v>
      </c>
      <c r="X48" s="392">
        <v>0</v>
      </c>
      <c r="Y48" s="390">
        <v>0</v>
      </c>
      <c r="Z48" s="392">
        <v>0</v>
      </c>
      <c r="AA48" s="392">
        <v>0</v>
      </c>
      <c r="AB48" s="390">
        <v>0</v>
      </c>
      <c r="AC48" s="392">
        <v>0</v>
      </c>
      <c r="AD48" s="392">
        <v>0</v>
      </c>
      <c r="AE48" s="390">
        <v>0</v>
      </c>
      <c r="AF48" s="392">
        <v>0</v>
      </c>
      <c r="AG48" s="392">
        <v>0</v>
      </c>
      <c r="AH48" s="390">
        <v>0</v>
      </c>
      <c r="AI48" s="392">
        <v>0</v>
      </c>
      <c r="AJ48" s="392">
        <v>0</v>
      </c>
      <c r="AK48" s="390">
        <v>0</v>
      </c>
      <c r="AL48" s="392">
        <v>0</v>
      </c>
      <c r="AM48" s="392">
        <v>0</v>
      </c>
      <c r="AN48" s="392">
        <v>0</v>
      </c>
      <c r="AO48" s="169" t="s">
        <v>122</v>
      </c>
    </row>
    <row r="49" spans="1:41" ht="18.75" customHeight="1">
      <c r="A49" s="132" t="s">
        <v>138</v>
      </c>
      <c r="B49" s="459">
        <f t="shared" si="10"/>
        <v>0</v>
      </c>
      <c r="C49" s="458">
        <f t="shared" si="10"/>
        <v>0</v>
      </c>
      <c r="D49" s="460">
        <f t="shared" si="10"/>
        <v>0</v>
      </c>
      <c r="E49" s="392">
        <v>0</v>
      </c>
      <c r="F49" s="392">
        <v>0</v>
      </c>
      <c r="G49" s="390">
        <v>0</v>
      </c>
      <c r="H49" s="392">
        <v>0</v>
      </c>
      <c r="I49" s="392">
        <v>0</v>
      </c>
      <c r="J49" s="390">
        <v>0</v>
      </c>
      <c r="K49" s="392">
        <v>0</v>
      </c>
      <c r="L49" s="392">
        <v>0</v>
      </c>
      <c r="M49" s="390">
        <v>0</v>
      </c>
      <c r="N49" s="392">
        <v>0</v>
      </c>
      <c r="O49" s="392">
        <v>0</v>
      </c>
      <c r="P49" s="390">
        <v>0</v>
      </c>
      <c r="Q49" s="392">
        <v>0</v>
      </c>
      <c r="R49" s="392">
        <v>0</v>
      </c>
      <c r="S49" s="390">
        <v>0</v>
      </c>
      <c r="T49" s="392">
        <v>0</v>
      </c>
      <c r="U49" s="392">
        <v>0</v>
      </c>
      <c r="V49" s="390">
        <v>0</v>
      </c>
      <c r="W49" s="392">
        <v>0</v>
      </c>
      <c r="X49" s="392">
        <v>0</v>
      </c>
      <c r="Y49" s="390">
        <v>0</v>
      </c>
      <c r="Z49" s="392">
        <v>0</v>
      </c>
      <c r="AA49" s="392">
        <v>0</v>
      </c>
      <c r="AB49" s="390">
        <v>0</v>
      </c>
      <c r="AC49" s="392">
        <v>0</v>
      </c>
      <c r="AD49" s="392">
        <v>0</v>
      </c>
      <c r="AE49" s="390">
        <v>0</v>
      </c>
      <c r="AF49" s="392">
        <v>0</v>
      </c>
      <c r="AG49" s="392">
        <v>0</v>
      </c>
      <c r="AH49" s="390">
        <v>0</v>
      </c>
      <c r="AI49" s="392">
        <v>0</v>
      </c>
      <c r="AJ49" s="392">
        <v>0</v>
      </c>
      <c r="AK49" s="390">
        <v>0</v>
      </c>
      <c r="AL49" s="392">
        <v>0</v>
      </c>
      <c r="AM49" s="392">
        <v>0</v>
      </c>
      <c r="AN49" s="392">
        <v>0</v>
      </c>
      <c r="AO49" s="169" t="s">
        <v>138</v>
      </c>
    </row>
    <row r="50" spans="1:41" ht="18.75" customHeight="1">
      <c r="A50" s="132" t="s">
        <v>110</v>
      </c>
      <c r="B50" s="459">
        <f t="shared" si="10"/>
        <v>13</v>
      </c>
      <c r="C50" s="458">
        <f t="shared" si="10"/>
        <v>189</v>
      </c>
      <c r="D50" s="460">
        <f t="shared" si="10"/>
        <v>0</v>
      </c>
      <c r="E50" s="392">
        <v>0</v>
      </c>
      <c r="F50" s="392">
        <v>0</v>
      </c>
      <c r="G50" s="390">
        <v>0</v>
      </c>
      <c r="H50" s="392">
        <v>0</v>
      </c>
      <c r="I50" s="392">
        <v>0</v>
      </c>
      <c r="J50" s="390">
        <v>0</v>
      </c>
      <c r="K50" s="392">
        <v>0</v>
      </c>
      <c r="L50" s="392">
        <v>0</v>
      </c>
      <c r="M50" s="390">
        <v>0</v>
      </c>
      <c r="N50" s="392">
        <v>0</v>
      </c>
      <c r="O50" s="392">
        <v>0</v>
      </c>
      <c r="P50" s="390">
        <v>0</v>
      </c>
      <c r="Q50" s="392">
        <v>3</v>
      </c>
      <c r="R50" s="392">
        <v>50</v>
      </c>
      <c r="S50" s="390">
        <v>0</v>
      </c>
      <c r="T50" s="392">
        <v>4</v>
      </c>
      <c r="U50" s="392">
        <f>17+5+13+14</f>
        <v>49</v>
      </c>
      <c r="V50" s="390">
        <v>0</v>
      </c>
      <c r="W50" s="392">
        <v>0</v>
      </c>
      <c r="X50" s="392">
        <v>0</v>
      </c>
      <c r="Y50" s="390">
        <v>0</v>
      </c>
      <c r="Z50" s="392">
        <v>2</v>
      </c>
      <c r="AA50" s="392">
        <v>12</v>
      </c>
      <c r="AB50" s="390">
        <v>0</v>
      </c>
      <c r="AC50" s="392">
        <v>0</v>
      </c>
      <c r="AD50" s="392">
        <v>0</v>
      </c>
      <c r="AE50" s="390">
        <v>0</v>
      </c>
      <c r="AF50" s="392">
        <v>0</v>
      </c>
      <c r="AG50" s="392">
        <v>0</v>
      </c>
      <c r="AH50" s="390">
        <v>0</v>
      </c>
      <c r="AI50" s="392">
        <v>0</v>
      </c>
      <c r="AJ50" s="392">
        <v>0</v>
      </c>
      <c r="AK50" s="390">
        <v>0</v>
      </c>
      <c r="AL50" s="392">
        <v>4</v>
      </c>
      <c r="AM50" s="392">
        <f>18+21+25+14</f>
        <v>78</v>
      </c>
      <c r="AN50" s="392">
        <v>0</v>
      </c>
      <c r="AO50" s="169" t="s">
        <v>110</v>
      </c>
    </row>
    <row r="51" spans="1:41" ht="18.75" customHeight="1" thickBot="1">
      <c r="A51" s="134" t="s">
        <v>139</v>
      </c>
      <c r="B51" s="468">
        <f t="shared" si="10"/>
        <v>1</v>
      </c>
      <c r="C51" s="469">
        <f t="shared" si="10"/>
        <v>10</v>
      </c>
      <c r="D51" s="471">
        <f t="shared" si="10"/>
        <v>0</v>
      </c>
      <c r="E51" s="395">
        <v>0</v>
      </c>
      <c r="F51" s="395">
        <v>0</v>
      </c>
      <c r="G51" s="393">
        <v>0</v>
      </c>
      <c r="H51" s="395">
        <v>0</v>
      </c>
      <c r="I51" s="395">
        <v>0</v>
      </c>
      <c r="J51" s="393">
        <v>0</v>
      </c>
      <c r="K51" s="395">
        <v>0</v>
      </c>
      <c r="L51" s="395">
        <v>0</v>
      </c>
      <c r="M51" s="393">
        <v>0</v>
      </c>
      <c r="N51" s="395">
        <v>0</v>
      </c>
      <c r="O51" s="395">
        <v>0</v>
      </c>
      <c r="P51" s="393">
        <v>0</v>
      </c>
      <c r="Q51" s="395">
        <v>0</v>
      </c>
      <c r="R51" s="395">
        <v>0</v>
      </c>
      <c r="S51" s="393">
        <v>0</v>
      </c>
      <c r="T51" s="395">
        <v>0</v>
      </c>
      <c r="U51" s="395">
        <v>0</v>
      </c>
      <c r="V51" s="393">
        <v>0</v>
      </c>
      <c r="W51" s="395">
        <v>0</v>
      </c>
      <c r="X51" s="395">
        <v>0</v>
      </c>
      <c r="Y51" s="393">
        <v>0</v>
      </c>
      <c r="Z51" s="395">
        <v>1</v>
      </c>
      <c r="AA51" s="395">
        <v>10</v>
      </c>
      <c r="AB51" s="393">
        <v>0</v>
      </c>
      <c r="AC51" s="395">
        <v>0</v>
      </c>
      <c r="AD51" s="395">
        <v>0</v>
      </c>
      <c r="AE51" s="393">
        <v>0</v>
      </c>
      <c r="AF51" s="395">
        <v>0</v>
      </c>
      <c r="AG51" s="395">
        <v>0</v>
      </c>
      <c r="AH51" s="393">
        <v>0</v>
      </c>
      <c r="AI51" s="395">
        <v>0</v>
      </c>
      <c r="AJ51" s="395">
        <v>0</v>
      </c>
      <c r="AK51" s="393">
        <v>0</v>
      </c>
      <c r="AL51" s="395">
        <v>0</v>
      </c>
      <c r="AM51" s="395">
        <v>0</v>
      </c>
      <c r="AN51" s="395">
        <v>0</v>
      </c>
      <c r="AO51" s="170" t="s">
        <v>139</v>
      </c>
    </row>
    <row r="52" spans="1:41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O52" s="47" t="s">
        <v>201</v>
      </c>
    </row>
  </sheetData>
  <sheetProtection/>
  <mergeCells count="2">
    <mergeCell ref="AL26:AN26"/>
    <mergeCell ref="AL2:AN2"/>
  </mergeCells>
  <printOptions/>
  <pageMargins left="0.7874015748031497" right="0.7874015748031497" top="0.79" bottom="0.3937007874015748" header="0.7" footer="0.31496062992125984"/>
  <pageSetup firstPageNumber="236" useFirstPageNumber="1" horizontalDpi="300" verticalDpi="300" orientation="portrait" paperSize="9" scale="77" r:id="rId1"/>
  <colBreaks count="1" manualBreakCount="1">
    <brk id="19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pane xSplit="1" topLeftCell="B1" activePane="topRight" state="frozen"/>
      <selection pane="topLeft" activeCell="M6" sqref="M6"/>
      <selection pane="topRight" activeCell="B38" sqref="B38:B40"/>
    </sheetView>
  </sheetViews>
  <sheetFormatPr defaultColWidth="9.00390625" defaultRowHeight="13.5"/>
  <cols>
    <col min="1" max="1" width="13.625" style="1" customWidth="1"/>
    <col min="2" max="2" width="11.625" style="1" bestFit="1" customWidth="1"/>
    <col min="3" max="5" width="10.375" style="1" bestFit="1" customWidth="1"/>
    <col min="6" max="6" width="11.625" style="1" bestFit="1" customWidth="1"/>
    <col min="7" max="9" width="10.375" style="1" bestFit="1" customWidth="1"/>
    <col min="10" max="11" width="10.375" style="1" customWidth="1"/>
    <col min="12" max="12" width="10.375" style="1" bestFit="1" customWidth="1"/>
    <col min="13" max="13" width="9.00390625" style="18" customWidth="1"/>
    <col min="14" max="16384" width="9.00390625" style="1" customWidth="1"/>
  </cols>
  <sheetData>
    <row r="1" spans="1:13" s="10" customFormat="1" ht="17.25" customHeight="1">
      <c r="A1" s="29" t="s">
        <v>253</v>
      </c>
      <c r="M1" s="31"/>
    </row>
    <row r="2" spans="1:12" ht="17.25" customHeight="1" thickBot="1">
      <c r="A2" s="2"/>
      <c r="B2" s="2"/>
      <c r="C2" s="2"/>
      <c r="D2" s="2"/>
      <c r="E2" s="2"/>
      <c r="F2" s="2"/>
      <c r="G2" s="2"/>
      <c r="H2" s="3"/>
      <c r="L2" s="3"/>
    </row>
    <row r="3" spans="1:13" ht="24" customHeight="1">
      <c r="A3" s="147" t="s">
        <v>285</v>
      </c>
      <c r="B3" s="39" t="s">
        <v>25</v>
      </c>
      <c r="C3" s="39">
        <v>14</v>
      </c>
      <c r="D3" s="39">
        <v>15</v>
      </c>
      <c r="E3" s="39">
        <v>16</v>
      </c>
      <c r="F3" s="39">
        <v>17</v>
      </c>
      <c r="G3" s="39">
        <v>18</v>
      </c>
      <c r="H3" s="39">
        <v>19</v>
      </c>
      <c r="I3" s="39">
        <v>20</v>
      </c>
      <c r="J3" s="40">
        <v>21</v>
      </c>
      <c r="K3" s="40">
        <v>22</v>
      </c>
      <c r="L3" s="40">
        <v>23</v>
      </c>
      <c r="M3" s="1"/>
    </row>
    <row r="4" spans="1:13" ht="24" customHeight="1">
      <c r="A4" s="301" t="s">
        <v>30</v>
      </c>
      <c r="B4" s="71">
        <f>SUM(B6:B11)</f>
        <v>212307</v>
      </c>
      <c r="C4" s="302">
        <f aca="true" t="shared" si="0" ref="C4:I4">SUM(C6:C11)</f>
        <v>231930</v>
      </c>
      <c r="D4" s="109">
        <f t="shared" si="0"/>
        <v>270311</v>
      </c>
      <c r="E4" s="70">
        <f t="shared" si="0"/>
        <v>274179</v>
      </c>
      <c r="F4" s="70">
        <f t="shared" si="0"/>
        <v>249872</v>
      </c>
      <c r="G4" s="71">
        <f t="shared" si="0"/>
        <v>244111</v>
      </c>
      <c r="H4" s="303">
        <f t="shared" si="0"/>
        <v>259617</v>
      </c>
      <c r="I4" s="71">
        <f t="shared" si="0"/>
        <v>252715</v>
      </c>
      <c r="J4" s="71">
        <f>SUM(J6:J11)</f>
        <v>261294</v>
      </c>
      <c r="K4" s="71">
        <f>SUM(K6:K11)</f>
        <v>250726</v>
      </c>
      <c r="L4" s="448">
        <f>SUM(L6:L11)</f>
        <v>238000</v>
      </c>
      <c r="M4" s="1"/>
    </row>
    <row r="5" spans="1:13" ht="24" customHeight="1">
      <c r="A5" s="301"/>
      <c r="B5" s="71"/>
      <c r="C5" s="70"/>
      <c r="D5" s="304"/>
      <c r="E5" s="110"/>
      <c r="F5" s="110"/>
      <c r="G5" s="305"/>
      <c r="H5" s="71"/>
      <c r="I5" s="305"/>
      <c r="J5" s="305"/>
      <c r="K5" s="305"/>
      <c r="L5" s="74"/>
      <c r="M5" s="1"/>
    </row>
    <row r="6" spans="1:13" ht="24" customHeight="1">
      <c r="A6" s="301" t="s">
        <v>168</v>
      </c>
      <c r="B6" s="71">
        <v>4386</v>
      </c>
      <c r="C6" s="70">
        <v>4987</v>
      </c>
      <c r="D6" s="71">
        <v>4651</v>
      </c>
      <c r="E6" s="70">
        <v>4776</v>
      </c>
      <c r="F6" s="70">
        <v>5036</v>
      </c>
      <c r="G6" s="71">
        <v>5005</v>
      </c>
      <c r="H6" s="71">
        <v>4902</v>
      </c>
      <c r="I6" s="71">
        <v>5024</v>
      </c>
      <c r="J6" s="71">
        <v>4588</v>
      </c>
      <c r="K6" s="71">
        <v>4533</v>
      </c>
      <c r="L6" s="377">
        <v>5688</v>
      </c>
      <c r="M6" s="1"/>
    </row>
    <row r="7" spans="1:13" ht="24" customHeight="1">
      <c r="A7" s="148" t="s">
        <v>255</v>
      </c>
      <c r="B7" s="67">
        <v>29</v>
      </c>
      <c r="C7" s="68">
        <v>40</v>
      </c>
      <c r="D7" s="71">
        <v>17</v>
      </c>
      <c r="E7" s="70">
        <v>20</v>
      </c>
      <c r="F7" s="70">
        <v>18</v>
      </c>
      <c r="G7" s="71">
        <v>10</v>
      </c>
      <c r="H7" s="67">
        <v>24</v>
      </c>
      <c r="I7" s="67">
        <v>21</v>
      </c>
      <c r="J7" s="67">
        <v>22</v>
      </c>
      <c r="K7" s="71">
        <v>17</v>
      </c>
      <c r="L7" s="377">
        <v>4</v>
      </c>
      <c r="M7" s="1"/>
    </row>
    <row r="8" spans="1:13" ht="24" customHeight="1">
      <c r="A8" s="148" t="s">
        <v>169</v>
      </c>
      <c r="B8" s="67">
        <v>2027</v>
      </c>
      <c r="C8" s="68">
        <v>2319</v>
      </c>
      <c r="D8" s="71">
        <v>2494</v>
      </c>
      <c r="E8" s="70">
        <v>2814</v>
      </c>
      <c r="F8" s="70">
        <v>2661</v>
      </c>
      <c r="G8" s="71">
        <v>2487</v>
      </c>
      <c r="H8" s="67">
        <v>2458</v>
      </c>
      <c r="I8" s="67">
        <v>2514</v>
      </c>
      <c r="J8" s="67">
        <v>2611</v>
      </c>
      <c r="K8" s="71">
        <v>2615</v>
      </c>
      <c r="L8" s="377">
        <f>439+1773</f>
        <v>2212</v>
      </c>
      <c r="M8" s="1"/>
    </row>
    <row r="9" spans="1:13" ht="24" customHeight="1">
      <c r="A9" s="148" t="s">
        <v>170</v>
      </c>
      <c r="B9" s="67">
        <v>205736</v>
      </c>
      <c r="C9" s="68">
        <v>224435</v>
      </c>
      <c r="D9" s="71">
        <v>263010</v>
      </c>
      <c r="E9" s="70">
        <v>266452</v>
      </c>
      <c r="F9" s="70">
        <v>242066</v>
      </c>
      <c r="G9" s="71">
        <v>236519</v>
      </c>
      <c r="H9" s="67">
        <v>252145</v>
      </c>
      <c r="I9" s="67">
        <v>245030</v>
      </c>
      <c r="J9" s="67">
        <v>253996</v>
      </c>
      <c r="K9" s="71">
        <v>243480</v>
      </c>
      <c r="L9" s="377">
        <f>206099+23947</f>
        <v>230046</v>
      </c>
      <c r="M9" s="1"/>
    </row>
    <row r="10" spans="1:13" ht="24" customHeight="1">
      <c r="A10" s="148" t="s">
        <v>175</v>
      </c>
      <c r="B10" s="67">
        <v>117</v>
      </c>
      <c r="C10" s="68">
        <v>144</v>
      </c>
      <c r="D10" s="71">
        <v>126</v>
      </c>
      <c r="E10" s="70">
        <v>112</v>
      </c>
      <c r="F10" s="70">
        <v>82</v>
      </c>
      <c r="G10" s="71">
        <v>89</v>
      </c>
      <c r="H10" s="67">
        <v>86</v>
      </c>
      <c r="I10" s="67">
        <v>114</v>
      </c>
      <c r="J10" s="67">
        <v>77</v>
      </c>
      <c r="K10" s="71">
        <v>81</v>
      </c>
      <c r="L10" s="377">
        <v>50</v>
      </c>
      <c r="M10" s="1"/>
    </row>
    <row r="11" spans="1:13" ht="24" customHeight="1" thickBot="1">
      <c r="A11" s="41" t="s">
        <v>176</v>
      </c>
      <c r="B11" s="73">
        <v>12</v>
      </c>
      <c r="C11" s="72">
        <v>5</v>
      </c>
      <c r="D11" s="76">
        <v>13</v>
      </c>
      <c r="E11" s="137">
        <v>5</v>
      </c>
      <c r="F11" s="137">
        <v>9</v>
      </c>
      <c r="G11" s="76">
        <v>1</v>
      </c>
      <c r="H11" s="73">
        <v>2</v>
      </c>
      <c r="I11" s="73">
        <v>12</v>
      </c>
      <c r="J11" s="73">
        <v>0</v>
      </c>
      <c r="K11" s="306">
        <v>0</v>
      </c>
      <c r="L11" s="396">
        <v>0</v>
      </c>
      <c r="M11" s="1"/>
    </row>
    <row r="12" spans="1:13" ht="17.25" customHeight="1">
      <c r="A12" s="3"/>
      <c r="L12" s="35" t="s">
        <v>201</v>
      </c>
      <c r="M12" s="1"/>
    </row>
    <row r="13" spans="1:11" ht="17.25" customHeight="1">
      <c r="A13" s="3"/>
      <c r="B13" s="6"/>
      <c r="C13" s="6"/>
      <c r="D13" s="6"/>
      <c r="E13" s="6"/>
      <c r="F13" s="6"/>
      <c r="G13" s="6"/>
      <c r="H13" s="6"/>
      <c r="I13" s="10"/>
      <c r="J13" s="10"/>
      <c r="K13" s="10"/>
    </row>
    <row r="14" spans="1:13" s="10" customFormat="1" ht="17.25" customHeight="1">
      <c r="A14" s="29" t="s">
        <v>254</v>
      </c>
      <c r="M14" s="31"/>
    </row>
    <row r="15" spans="1:8" ht="17.25" customHeight="1" thickBot="1">
      <c r="A15" s="2"/>
      <c r="B15" s="2"/>
      <c r="C15" s="2"/>
      <c r="D15" s="2"/>
      <c r="E15" s="2"/>
      <c r="F15" s="2"/>
      <c r="G15" s="2"/>
      <c r="H15" s="13" t="s">
        <v>303</v>
      </c>
    </row>
    <row r="16" spans="1:13" s="23" customFormat="1" ht="24" customHeight="1">
      <c r="A16" s="139" t="s">
        <v>185</v>
      </c>
      <c r="B16" s="138" t="s">
        <v>186</v>
      </c>
      <c r="C16" s="139" t="s">
        <v>168</v>
      </c>
      <c r="D16" s="138" t="s">
        <v>255</v>
      </c>
      <c r="E16" s="139" t="s">
        <v>169</v>
      </c>
      <c r="F16" s="138" t="s">
        <v>170</v>
      </c>
      <c r="G16" s="138" t="s">
        <v>175</v>
      </c>
      <c r="H16" s="144" t="s">
        <v>176</v>
      </c>
      <c r="M16" s="32"/>
    </row>
    <row r="17" spans="1:15" ht="24" customHeight="1">
      <c r="A17" s="149" t="s">
        <v>30</v>
      </c>
      <c r="B17" s="435">
        <f>SUM(B19:B30)</f>
        <v>238000</v>
      </c>
      <c r="C17" s="435">
        <f aca="true" t="shared" si="1" ref="C17:H17">SUM(C19:C30)</f>
        <v>5688</v>
      </c>
      <c r="D17" s="435">
        <f>SUM(D19:D30)</f>
        <v>4</v>
      </c>
      <c r="E17" s="435">
        <f t="shared" si="1"/>
        <v>2212</v>
      </c>
      <c r="F17" s="435">
        <f t="shared" si="1"/>
        <v>230046</v>
      </c>
      <c r="G17" s="435">
        <f t="shared" si="1"/>
        <v>50</v>
      </c>
      <c r="H17" s="437">
        <f t="shared" si="1"/>
        <v>0</v>
      </c>
      <c r="N17" s="275"/>
      <c r="O17" s="6"/>
    </row>
    <row r="18" spans="1:15" ht="24" customHeight="1">
      <c r="A18" s="149"/>
      <c r="B18" s="140"/>
      <c r="C18" s="141"/>
      <c r="D18" s="140"/>
      <c r="E18" s="141"/>
      <c r="F18" s="140"/>
      <c r="G18" s="140"/>
      <c r="H18" s="145"/>
      <c r="J18" s="1" t="s">
        <v>304</v>
      </c>
      <c r="N18" s="100"/>
      <c r="O18" s="6"/>
    </row>
    <row r="19" spans="1:15" ht="24" customHeight="1">
      <c r="A19" s="149" t="s">
        <v>177</v>
      </c>
      <c r="B19" s="435">
        <f>SUM(C19:H19)</f>
        <v>18645</v>
      </c>
      <c r="C19" s="397">
        <v>272</v>
      </c>
      <c r="D19" s="352">
        <v>0</v>
      </c>
      <c r="E19" s="397">
        <f>164+50</f>
        <v>214</v>
      </c>
      <c r="F19" s="352">
        <f>2013+16143</f>
        <v>18156</v>
      </c>
      <c r="G19" s="352">
        <v>3</v>
      </c>
      <c r="H19" s="353">
        <v>0</v>
      </c>
      <c r="N19" s="100"/>
      <c r="O19" s="6"/>
    </row>
    <row r="20" spans="1:15" ht="24" customHeight="1">
      <c r="A20" s="149" t="s">
        <v>178</v>
      </c>
      <c r="B20" s="435">
        <f aca="true" t="shared" si="2" ref="B20:B30">SUM(C20:H20)</f>
        <v>17656</v>
      </c>
      <c r="C20" s="397">
        <v>335</v>
      </c>
      <c r="D20" s="352">
        <v>0</v>
      </c>
      <c r="E20" s="397">
        <f>136+26</f>
        <v>162</v>
      </c>
      <c r="F20" s="352">
        <f>2029+15128</f>
        <v>17157</v>
      </c>
      <c r="G20" s="352">
        <v>2</v>
      </c>
      <c r="H20" s="353">
        <v>0</v>
      </c>
      <c r="N20" s="275"/>
      <c r="O20" s="6"/>
    </row>
    <row r="21" spans="1:12" ht="24" customHeight="1">
      <c r="A21" s="149" t="s">
        <v>256</v>
      </c>
      <c r="B21" s="435">
        <f t="shared" si="2"/>
        <v>18384</v>
      </c>
      <c r="C21" s="397">
        <v>319</v>
      </c>
      <c r="D21" s="352">
        <v>0</v>
      </c>
      <c r="E21" s="397">
        <f>122+32</f>
        <v>154</v>
      </c>
      <c r="F21" s="352">
        <f>1809+16100</f>
        <v>17909</v>
      </c>
      <c r="G21" s="352">
        <v>2</v>
      </c>
      <c r="H21" s="353">
        <v>0</v>
      </c>
      <c r="L21" s="6"/>
    </row>
    <row r="22" spans="1:12" ht="24" customHeight="1">
      <c r="A22" s="149" t="s">
        <v>257</v>
      </c>
      <c r="B22" s="435">
        <f>SUM(C22:H22)</f>
        <v>17275</v>
      </c>
      <c r="C22" s="397">
        <v>158</v>
      </c>
      <c r="D22" s="352">
        <v>0</v>
      </c>
      <c r="E22" s="397">
        <f>139+26</f>
        <v>165</v>
      </c>
      <c r="F22" s="352">
        <f>1660+15287</f>
        <v>16947</v>
      </c>
      <c r="G22" s="352">
        <v>5</v>
      </c>
      <c r="H22" s="353">
        <v>0</v>
      </c>
      <c r="L22" s="6"/>
    </row>
    <row r="23" spans="1:12" ht="24" customHeight="1">
      <c r="A23" s="149" t="s">
        <v>258</v>
      </c>
      <c r="B23" s="435">
        <f t="shared" si="2"/>
        <v>18732</v>
      </c>
      <c r="C23" s="397">
        <v>104</v>
      </c>
      <c r="D23" s="352">
        <v>0</v>
      </c>
      <c r="E23" s="397">
        <f>158+45</f>
        <v>203</v>
      </c>
      <c r="F23" s="352">
        <f>1957+16460</f>
        <v>18417</v>
      </c>
      <c r="G23" s="352">
        <v>8</v>
      </c>
      <c r="H23" s="353">
        <v>0</v>
      </c>
      <c r="L23" s="6"/>
    </row>
    <row r="24" spans="1:12" ht="24" customHeight="1">
      <c r="A24" s="149" t="s">
        <v>259</v>
      </c>
      <c r="B24" s="435">
        <f t="shared" si="2"/>
        <v>19870</v>
      </c>
      <c r="C24" s="397">
        <v>689</v>
      </c>
      <c r="D24" s="352">
        <v>1</v>
      </c>
      <c r="E24" s="397">
        <f>151+27</f>
        <v>178</v>
      </c>
      <c r="F24" s="352">
        <f>2000+16993</f>
        <v>18993</v>
      </c>
      <c r="G24" s="352">
        <v>9</v>
      </c>
      <c r="H24" s="353">
        <v>0</v>
      </c>
      <c r="L24" s="6"/>
    </row>
    <row r="25" spans="1:12" ht="24" customHeight="1">
      <c r="A25" s="149" t="s">
        <v>179</v>
      </c>
      <c r="B25" s="435">
        <f t="shared" si="2"/>
        <v>21040</v>
      </c>
      <c r="C25" s="397">
        <v>679</v>
      </c>
      <c r="D25" s="352">
        <v>1</v>
      </c>
      <c r="E25" s="397">
        <f>165+33</f>
        <v>198</v>
      </c>
      <c r="F25" s="352">
        <f>2196+17954</f>
        <v>20150</v>
      </c>
      <c r="G25" s="352">
        <v>12</v>
      </c>
      <c r="H25" s="353">
        <v>0</v>
      </c>
      <c r="L25" s="6"/>
    </row>
    <row r="26" spans="1:12" ht="24" customHeight="1">
      <c r="A26" s="149" t="s">
        <v>180</v>
      </c>
      <c r="B26" s="435">
        <f t="shared" si="2"/>
        <v>22709</v>
      </c>
      <c r="C26" s="397">
        <v>674</v>
      </c>
      <c r="D26" s="352">
        <v>0</v>
      </c>
      <c r="E26" s="397">
        <f>184+36</f>
        <v>220</v>
      </c>
      <c r="F26" s="352">
        <f>2279+19531</f>
        <v>21810</v>
      </c>
      <c r="G26" s="352">
        <v>5</v>
      </c>
      <c r="H26" s="353">
        <v>0</v>
      </c>
      <c r="L26" s="6"/>
    </row>
    <row r="27" spans="1:12" ht="24" customHeight="1">
      <c r="A27" s="149" t="s">
        <v>181</v>
      </c>
      <c r="B27" s="435">
        <f t="shared" si="2"/>
        <v>22356</v>
      </c>
      <c r="C27" s="397">
        <v>564</v>
      </c>
      <c r="D27" s="352">
        <v>0</v>
      </c>
      <c r="E27" s="397">
        <f>178+60</f>
        <v>238</v>
      </c>
      <c r="F27" s="352">
        <f>2195+19358</f>
        <v>21553</v>
      </c>
      <c r="G27" s="352">
        <v>1</v>
      </c>
      <c r="H27" s="353">
        <v>0</v>
      </c>
      <c r="L27" s="6"/>
    </row>
    <row r="28" spans="1:12" ht="24" customHeight="1">
      <c r="A28" s="149" t="s">
        <v>182</v>
      </c>
      <c r="B28" s="435">
        <f t="shared" si="2"/>
        <v>20387</v>
      </c>
      <c r="C28" s="397">
        <v>548</v>
      </c>
      <c r="D28" s="352">
        <v>1</v>
      </c>
      <c r="E28" s="397">
        <f>116+30</f>
        <v>146</v>
      </c>
      <c r="F28" s="352">
        <f>1985+17707</f>
        <v>19692</v>
      </c>
      <c r="G28" s="352">
        <v>0</v>
      </c>
      <c r="H28" s="353">
        <v>0</v>
      </c>
      <c r="L28" s="6"/>
    </row>
    <row r="29" spans="1:12" ht="24" customHeight="1">
      <c r="A29" s="149" t="s">
        <v>183</v>
      </c>
      <c r="B29" s="435">
        <f t="shared" si="2"/>
        <v>20400</v>
      </c>
      <c r="C29" s="397">
        <v>679</v>
      </c>
      <c r="D29" s="352">
        <v>1</v>
      </c>
      <c r="E29" s="397">
        <f>131+32</f>
        <v>163</v>
      </c>
      <c r="F29" s="352">
        <f>1830+17726</f>
        <v>19556</v>
      </c>
      <c r="G29" s="352">
        <v>1</v>
      </c>
      <c r="H29" s="353">
        <v>0</v>
      </c>
      <c r="L29" s="6"/>
    </row>
    <row r="30" spans="1:12" ht="24" customHeight="1" thickBot="1">
      <c r="A30" s="150" t="s">
        <v>184</v>
      </c>
      <c r="B30" s="461">
        <f t="shared" si="2"/>
        <v>20546</v>
      </c>
      <c r="C30" s="398">
        <v>667</v>
      </c>
      <c r="D30" s="399">
        <v>0</v>
      </c>
      <c r="E30" s="398">
        <f>129+42</f>
        <v>171</v>
      </c>
      <c r="F30" s="399">
        <f>1994+17712</f>
        <v>19706</v>
      </c>
      <c r="G30" s="399">
        <v>2</v>
      </c>
      <c r="H30" s="400">
        <v>0</v>
      </c>
      <c r="L30" s="6"/>
    </row>
    <row r="31" spans="1:12" ht="17.25" customHeight="1">
      <c r="A31" s="20"/>
      <c r="B31" s="15"/>
      <c r="C31" s="15"/>
      <c r="D31" s="15"/>
      <c r="E31" s="15"/>
      <c r="F31" s="15"/>
      <c r="G31" s="15"/>
      <c r="H31" s="35" t="s">
        <v>201</v>
      </c>
      <c r="L31" s="6"/>
    </row>
    <row r="32" ht="17.25" customHeight="1"/>
    <row r="33" spans="1:13" s="10" customFormat="1" ht="17.25" customHeight="1">
      <c r="A33" s="10" t="s">
        <v>260</v>
      </c>
      <c r="M33" s="31"/>
    </row>
    <row r="34" spans="1:8" ht="17.25" customHeight="1" thickBot="1">
      <c r="A34" s="2"/>
      <c r="B34" s="2"/>
      <c r="C34" s="2"/>
      <c r="D34" s="2"/>
      <c r="E34" s="2"/>
      <c r="F34" s="2"/>
      <c r="G34" s="2"/>
      <c r="H34" s="13" t="s">
        <v>303</v>
      </c>
    </row>
    <row r="35" spans="1:8" ht="24" customHeight="1">
      <c r="A35" s="146" t="s">
        <v>174</v>
      </c>
      <c r="B35" s="138" t="s">
        <v>186</v>
      </c>
      <c r="C35" s="139" t="s">
        <v>168</v>
      </c>
      <c r="D35" s="138" t="s">
        <v>255</v>
      </c>
      <c r="E35" s="139" t="s">
        <v>169</v>
      </c>
      <c r="F35" s="138" t="s">
        <v>170</v>
      </c>
      <c r="G35" s="138" t="s">
        <v>175</v>
      </c>
      <c r="H35" s="144" t="s">
        <v>176</v>
      </c>
    </row>
    <row r="36" spans="1:11" ht="24" customHeight="1">
      <c r="A36" s="60" t="s">
        <v>30</v>
      </c>
      <c r="B36" s="435">
        <f>SUM(B38:B40)</f>
        <v>238000</v>
      </c>
      <c r="C36" s="435">
        <f aca="true" t="shared" si="3" ref="C36:H36">SUM(C38:C40)</f>
        <v>5688</v>
      </c>
      <c r="D36" s="435">
        <f t="shared" si="3"/>
        <v>4</v>
      </c>
      <c r="E36" s="435">
        <f t="shared" si="3"/>
        <v>2212</v>
      </c>
      <c r="F36" s="435">
        <f t="shared" si="3"/>
        <v>230046</v>
      </c>
      <c r="G36" s="435">
        <f t="shared" si="3"/>
        <v>50</v>
      </c>
      <c r="H36" s="437">
        <f t="shared" si="3"/>
        <v>0</v>
      </c>
      <c r="I36" s="6"/>
      <c r="J36" s="6"/>
      <c r="K36" s="6"/>
    </row>
    <row r="37" spans="1:11" ht="24" customHeight="1">
      <c r="A37" s="60"/>
      <c r="B37" s="140"/>
      <c r="C37" s="141"/>
      <c r="D37" s="140"/>
      <c r="E37" s="141"/>
      <c r="F37" s="140"/>
      <c r="G37" s="140"/>
      <c r="H37" s="145"/>
      <c r="I37" s="6"/>
      <c r="J37" s="6"/>
      <c r="K37" s="6"/>
    </row>
    <row r="38" spans="1:11" ht="26.25" customHeight="1">
      <c r="A38" s="264" t="s">
        <v>294</v>
      </c>
      <c r="B38" s="435">
        <f>SUM(C38:H38)</f>
        <v>0</v>
      </c>
      <c r="C38" s="358">
        <v>0</v>
      </c>
      <c r="D38" s="359">
        <v>0</v>
      </c>
      <c r="E38" s="358">
        <v>0</v>
      </c>
      <c r="F38" s="358">
        <v>0</v>
      </c>
      <c r="G38" s="358">
        <v>0</v>
      </c>
      <c r="H38" s="359">
        <v>0</v>
      </c>
      <c r="I38" s="6"/>
      <c r="J38" s="6"/>
      <c r="K38" s="6"/>
    </row>
    <row r="39" spans="1:11" ht="28.5" customHeight="1">
      <c r="A39" s="60" t="s">
        <v>262</v>
      </c>
      <c r="B39" s="435">
        <f>SUM(C39:H39)</f>
        <v>25720</v>
      </c>
      <c r="C39" s="358">
        <v>0</v>
      </c>
      <c r="D39" s="358">
        <v>0</v>
      </c>
      <c r="E39" s="397">
        <v>1773</v>
      </c>
      <c r="F39" s="352">
        <v>23947</v>
      </c>
      <c r="G39" s="358">
        <v>0</v>
      </c>
      <c r="H39" s="359">
        <v>0</v>
      </c>
      <c r="I39" s="6"/>
      <c r="J39" s="6"/>
      <c r="K39" s="6"/>
    </row>
    <row r="40" spans="1:11" ht="28.5" customHeight="1" thickBot="1">
      <c r="A40" s="62" t="s">
        <v>295</v>
      </c>
      <c r="B40" s="461">
        <f>SUM(C40:H40)</f>
        <v>212280</v>
      </c>
      <c r="C40" s="401">
        <v>5688</v>
      </c>
      <c r="D40" s="401">
        <v>4</v>
      </c>
      <c r="E40" s="399">
        <v>439</v>
      </c>
      <c r="F40" s="399">
        <v>206099</v>
      </c>
      <c r="G40" s="401">
        <v>50</v>
      </c>
      <c r="H40" s="402">
        <v>0</v>
      </c>
      <c r="I40" s="6"/>
      <c r="J40" s="6"/>
      <c r="K40" s="6"/>
    </row>
    <row r="41" ht="13.5">
      <c r="H41" s="35" t="s">
        <v>201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238" useFirstPageNumber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2013-07-01T02:36:27Z</cp:lastPrinted>
  <dcterms:created xsi:type="dcterms:W3CDTF">2002-02-15T00:35:44Z</dcterms:created>
  <dcterms:modified xsi:type="dcterms:W3CDTF">2013-07-30T06:45:42Z</dcterms:modified>
  <cp:category/>
  <cp:version/>
  <cp:contentType/>
  <cp:contentStatus/>
</cp:coreProperties>
</file>